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disco D\INDUPAL\CONTRALORIA MUNICIPAL\3. VALORACION DE RIESGOS\"/>
    </mc:Choice>
  </mc:AlternateContent>
  <bookViews>
    <workbookView xWindow="-120" yWindow="-120" windowWidth="20730" windowHeight="11160" tabRatio="882" activeTab="1"/>
  </bookViews>
  <sheets>
    <sheet name="Ins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concurrentCalc="0"/>
  <pivotCaches>
    <pivotCache cacheId="0" r:id="rId10"/>
  </pivotCaches>
</workbook>
</file>

<file path=xl/calcChain.xml><?xml version="1.0" encoding="utf-8"?>
<calcChain xmlns="http://schemas.openxmlformats.org/spreadsheetml/2006/main">
  <c r="AB33" i="1" l="1"/>
  <c r="S39" i="1"/>
  <c r="Z39" i="1"/>
  <c r="V39" i="1"/>
  <c r="S40" i="1"/>
  <c r="V40" i="1"/>
  <c r="Z40" i="1"/>
  <c r="AB40" i="1"/>
  <c r="AD40" i="1"/>
  <c r="AC40" i="1"/>
  <c r="V22" i="1"/>
  <c r="AA40" i="1"/>
  <c r="AE40" i="1"/>
  <c r="AD39" i="1"/>
  <c r="AC39" i="1"/>
  <c r="AB39" i="1"/>
  <c r="AA39" i="1"/>
  <c r="V10" i="1"/>
  <c r="M14" i="1"/>
  <c r="M13" i="1"/>
  <c r="M12" i="1"/>
  <c r="M11" i="1"/>
  <c r="M10" i="1"/>
  <c r="AE39" i="1"/>
  <c r="J9" i="1"/>
  <c r="K9" i="1"/>
  <c r="S13" i="1"/>
  <c r="S10" i="1"/>
  <c r="S9" i="1"/>
  <c r="V128" i="1"/>
  <c r="S128" i="1"/>
  <c r="V127" i="1"/>
  <c r="S127" i="1"/>
  <c r="V126" i="1"/>
  <c r="S126" i="1"/>
  <c r="V125" i="1"/>
  <c r="S125" i="1"/>
  <c r="V124" i="1"/>
  <c r="S124" i="1"/>
  <c r="V123" i="1"/>
  <c r="S123" i="1"/>
  <c r="J123" i="1"/>
  <c r="V122" i="1"/>
  <c r="S122" i="1"/>
  <c r="V121" i="1"/>
  <c r="S121" i="1"/>
  <c r="V120" i="1"/>
  <c r="S120" i="1"/>
  <c r="V119" i="1"/>
  <c r="S119" i="1"/>
  <c r="V118" i="1"/>
  <c r="S118" i="1"/>
  <c r="Z119" i="1"/>
  <c r="V117" i="1"/>
  <c r="S117" i="1"/>
  <c r="J117" i="1"/>
  <c r="V116" i="1"/>
  <c r="S116" i="1"/>
  <c r="V115" i="1"/>
  <c r="S115" i="1"/>
  <c r="V114" i="1"/>
  <c r="S114" i="1"/>
  <c r="V113" i="1"/>
  <c r="S113" i="1"/>
  <c r="V112" i="1"/>
  <c r="S112" i="1"/>
  <c r="V111" i="1"/>
  <c r="S111" i="1"/>
  <c r="AD111" i="1"/>
  <c r="AC111" i="1"/>
  <c r="J111" i="1"/>
  <c r="K111" i="1"/>
  <c r="V110" i="1"/>
  <c r="S110" i="1"/>
  <c r="V109" i="1"/>
  <c r="S109" i="1"/>
  <c r="Z109" i="1"/>
  <c r="V108" i="1"/>
  <c r="S108" i="1"/>
  <c r="V107" i="1"/>
  <c r="S107" i="1"/>
  <c r="V106" i="1"/>
  <c r="S106" i="1"/>
  <c r="V105" i="1"/>
  <c r="S105" i="1"/>
  <c r="J105" i="1"/>
  <c r="V104" i="1"/>
  <c r="S104" i="1"/>
  <c r="V103" i="1"/>
  <c r="S103" i="1"/>
  <c r="V102" i="1"/>
  <c r="S102" i="1"/>
  <c r="V101" i="1"/>
  <c r="S101" i="1"/>
  <c r="V100" i="1"/>
  <c r="S100" i="1"/>
  <c r="V99" i="1"/>
  <c r="S99" i="1"/>
  <c r="AD99" i="1"/>
  <c r="AC99" i="1"/>
  <c r="J99" i="1"/>
  <c r="K99" i="1"/>
  <c r="V98" i="1"/>
  <c r="S98" i="1"/>
  <c r="V97" i="1"/>
  <c r="S97" i="1"/>
  <c r="V96" i="1"/>
  <c r="S96" i="1"/>
  <c r="V95" i="1"/>
  <c r="S95" i="1"/>
  <c r="V94" i="1"/>
  <c r="S94" i="1"/>
  <c r="V93" i="1"/>
  <c r="S93" i="1"/>
  <c r="J93" i="1"/>
  <c r="V92" i="1"/>
  <c r="S92" i="1"/>
  <c r="V91" i="1"/>
  <c r="S91" i="1"/>
  <c r="V90" i="1"/>
  <c r="S90" i="1"/>
  <c r="V89" i="1"/>
  <c r="S89" i="1"/>
  <c r="V88" i="1"/>
  <c r="S88" i="1"/>
  <c r="V87" i="1"/>
  <c r="S87" i="1"/>
  <c r="AD87" i="1"/>
  <c r="AC87" i="1"/>
  <c r="J87" i="1"/>
  <c r="K87" i="1"/>
  <c r="V86" i="1"/>
  <c r="S86" i="1"/>
  <c r="V85" i="1"/>
  <c r="S85" i="1"/>
  <c r="V84" i="1"/>
  <c r="S84" i="1"/>
  <c r="V83" i="1"/>
  <c r="S83" i="1"/>
  <c r="V82" i="1"/>
  <c r="S82" i="1"/>
  <c r="V81" i="1"/>
  <c r="S81" i="1"/>
  <c r="J81" i="1"/>
  <c r="V80" i="1"/>
  <c r="S80" i="1"/>
  <c r="V79" i="1"/>
  <c r="S79" i="1"/>
  <c r="V78" i="1"/>
  <c r="S78" i="1"/>
  <c r="V77" i="1"/>
  <c r="S77" i="1"/>
  <c r="V76" i="1"/>
  <c r="S76" i="1"/>
  <c r="V75" i="1"/>
  <c r="S75" i="1"/>
  <c r="AD75" i="1"/>
  <c r="AC75" i="1"/>
  <c r="J75" i="1"/>
  <c r="K75" i="1"/>
  <c r="V74" i="1"/>
  <c r="S74" i="1"/>
  <c r="V73" i="1"/>
  <c r="S73" i="1"/>
  <c r="V72" i="1"/>
  <c r="S72" i="1"/>
  <c r="V71" i="1"/>
  <c r="S71" i="1"/>
  <c r="V70" i="1"/>
  <c r="S70" i="1"/>
  <c r="V69" i="1"/>
  <c r="S69" i="1"/>
  <c r="Z69" i="1"/>
  <c r="AB69" i="1"/>
  <c r="J69" i="1"/>
  <c r="M86" i="1"/>
  <c r="M106" i="1"/>
  <c r="M114" i="1"/>
  <c r="M85" i="1"/>
  <c r="M84" i="1"/>
  <c r="M103" i="1"/>
  <c r="M72" i="1"/>
  <c r="M79" i="1"/>
  <c r="M121" i="1"/>
  <c r="M116" i="1"/>
  <c r="M113" i="1"/>
  <c r="M88" i="1"/>
  <c r="M128" i="1"/>
  <c r="M76" i="1"/>
  <c r="M118" i="1"/>
  <c r="M91" i="1"/>
  <c r="M94" i="1"/>
  <c r="M82" i="1"/>
  <c r="M124" i="1"/>
  <c r="M109" i="1"/>
  <c r="M74" i="1"/>
  <c r="M73" i="1"/>
  <c r="M77" i="1"/>
  <c r="M122" i="1"/>
  <c r="M90" i="1"/>
  <c r="M71" i="1"/>
  <c r="M96" i="1"/>
  <c r="M101" i="1"/>
  <c r="M100" i="1"/>
  <c r="M102" i="1"/>
  <c r="M120" i="1"/>
  <c r="M78" i="1"/>
  <c r="M119" i="1"/>
  <c r="M127" i="1"/>
  <c r="M126" i="1"/>
  <c r="M104" i="1"/>
  <c r="M97" i="1"/>
  <c r="M112" i="1"/>
  <c r="M98" i="1"/>
  <c r="M80" i="1"/>
  <c r="M95" i="1"/>
  <c r="M70" i="1"/>
  <c r="M125" i="1"/>
  <c r="M115" i="1"/>
  <c r="M108" i="1"/>
  <c r="M107" i="1"/>
  <c r="M92" i="1"/>
  <c r="M110" i="1"/>
  <c r="M83" i="1"/>
  <c r="M89" i="1"/>
  <c r="AD73" i="1"/>
  <c r="AC73" i="1"/>
  <c r="Z83" i="1"/>
  <c r="Z95" i="1"/>
  <c r="AA95" i="1"/>
  <c r="AD120" i="1"/>
  <c r="AC120" i="1"/>
  <c r="AD92" i="1"/>
  <c r="AC92" i="1"/>
  <c r="AD126" i="1"/>
  <c r="AC126" i="1"/>
  <c r="Z80" i="1"/>
  <c r="AB80" i="1"/>
  <c r="AD109" i="1"/>
  <c r="AC109" i="1"/>
  <c r="AD116" i="1"/>
  <c r="AC116" i="1"/>
  <c r="AD113" i="1"/>
  <c r="AC113" i="1"/>
  <c r="AD124" i="1"/>
  <c r="AC124" i="1"/>
  <c r="AD102" i="1"/>
  <c r="AC102" i="1"/>
  <c r="AD82" i="1"/>
  <c r="AC82" i="1"/>
  <c r="AD89" i="1"/>
  <c r="AC89" i="1"/>
  <c r="AD106" i="1"/>
  <c r="AC106" i="1"/>
  <c r="Z111" i="1"/>
  <c r="AB111" i="1"/>
  <c r="Z102" i="1"/>
  <c r="AB102" i="1"/>
  <c r="AD119" i="1"/>
  <c r="AC119" i="1"/>
  <c r="AD69" i="1"/>
  <c r="AC69" i="1"/>
  <c r="Z73" i="1"/>
  <c r="AB73" i="1"/>
  <c r="AD77" i="1"/>
  <c r="AC77" i="1"/>
  <c r="Z92" i="1"/>
  <c r="AD95" i="1"/>
  <c r="AC95" i="1"/>
  <c r="AD80" i="1"/>
  <c r="AC80" i="1"/>
  <c r="AD74" i="1"/>
  <c r="AC74" i="1"/>
  <c r="AD79" i="1"/>
  <c r="AC79" i="1"/>
  <c r="AD103" i="1"/>
  <c r="AC103" i="1"/>
  <c r="AA111" i="1"/>
  <c r="AE111" i="1"/>
  <c r="Z126" i="1"/>
  <c r="AB126" i="1"/>
  <c r="Z123" i="1"/>
  <c r="AB123" i="1"/>
  <c r="Z112" i="1"/>
  <c r="AB112" i="1"/>
  <c r="AD72" i="1"/>
  <c r="AC72" i="1"/>
  <c r="Z76" i="1"/>
  <c r="AB76" i="1"/>
  <c r="Z88" i="1"/>
  <c r="Z105" i="1"/>
  <c r="AB105" i="1"/>
  <c r="AD112" i="1"/>
  <c r="AC112" i="1"/>
  <c r="AD76" i="1"/>
  <c r="AC76" i="1"/>
  <c r="AD88" i="1"/>
  <c r="AC88" i="1"/>
  <c r="AD96" i="1"/>
  <c r="AC96" i="1"/>
  <c r="AD105" i="1"/>
  <c r="AC105" i="1"/>
  <c r="AD110" i="1"/>
  <c r="AC110" i="1"/>
  <c r="AD114" i="1"/>
  <c r="AC114" i="1"/>
  <c r="Z116" i="1"/>
  <c r="AB116" i="1"/>
  <c r="AD70" i="1"/>
  <c r="AC70" i="1"/>
  <c r="AD127" i="1"/>
  <c r="AC127" i="1"/>
  <c r="AA83" i="1"/>
  <c r="AB83" i="1"/>
  <c r="AD86" i="1"/>
  <c r="AC86" i="1"/>
  <c r="Z86" i="1"/>
  <c r="AD98" i="1"/>
  <c r="AC98" i="1"/>
  <c r="Z98" i="1"/>
  <c r="AD97" i="1"/>
  <c r="AC97" i="1"/>
  <c r="Z97" i="1"/>
  <c r="AD122" i="1"/>
  <c r="AC122" i="1"/>
  <c r="Z122" i="1"/>
  <c r="K69" i="1"/>
  <c r="AA69" i="1"/>
  <c r="Z70" i="1"/>
  <c r="Z74" i="1"/>
  <c r="Z77" i="1"/>
  <c r="AD84" i="1"/>
  <c r="AC84" i="1"/>
  <c r="Z84" i="1"/>
  <c r="AD83" i="1"/>
  <c r="AC83" i="1"/>
  <c r="AB92" i="1"/>
  <c r="AA92" i="1"/>
  <c r="AD94" i="1"/>
  <c r="AC94" i="1"/>
  <c r="Z94" i="1"/>
  <c r="AD93" i="1"/>
  <c r="AC93" i="1"/>
  <c r="Z93" i="1"/>
  <c r="AD104" i="1"/>
  <c r="AC104" i="1"/>
  <c r="Z104" i="1"/>
  <c r="AD108" i="1"/>
  <c r="AC108" i="1"/>
  <c r="Z108" i="1"/>
  <c r="AD107" i="1"/>
  <c r="AC107" i="1"/>
  <c r="Z107" i="1"/>
  <c r="AD118" i="1"/>
  <c r="AC118" i="1"/>
  <c r="Z118" i="1"/>
  <c r="AD117" i="1"/>
  <c r="AC117" i="1"/>
  <c r="Z117" i="1"/>
  <c r="AD121" i="1"/>
  <c r="AC121" i="1"/>
  <c r="AD85" i="1"/>
  <c r="AC85" i="1"/>
  <c r="K105" i="1"/>
  <c r="Z78" i="1"/>
  <c r="AD78" i="1"/>
  <c r="AC78" i="1"/>
  <c r="Z81" i="1"/>
  <c r="AD81" i="1"/>
  <c r="AC81" i="1"/>
  <c r="Z85" i="1"/>
  <c r="AB88" i="1"/>
  <c r="AA88" i="1"/>
  <c r="AD101" i="1"/>
  <c r="AC101" i="1"/>
  <c r="Z101" i="1"/>
  <c r="AD100" i="1"/>
  <c r="AC100" i="1"/>
  <c r="Z100" i="1"/>
  <c r="AD125" i="1"/>
  <c r="AC125" i="1"/>
  <c r="Z125" i="1"/>
  <c r="AD128" i="1"/>
  <c r="AC128" i="1"/>
  <c r="Z71" i="1"/>
  <c r="AD71" i="1"/>
  <c r="AC71" i="1"/>
  <c r="Z72" i="1"/>
  <c r="Z75" i="1"/>
  <c r="Z79" i="1"/>
  <c r="K81" i="1"/>
  <c r="Z82" i="1"/>
  <c r="AD91" i="1"/>
  <c r="AC91" i="1"/>
  <c r="Z91" i="1"/>
  <c r="AD90" i="1"/>
  <c r="AC90" i="1"/>
  <c r="Z90" i="1"/>
  <c r="AB109" i="1"/>
  <c r="AA109" i="1"/>
  <c r="AD115" i="1"/>
  <c r="AC115" i="1"/>
  <c r="Z115" i="1"/>
  <c r="Z114" i="1"/>
  <c r="AB119" i="1"/>
  <c r="AA119" i="1"/>
  <c r="AE119" i="1"/>
  <c r="Z89" i="1"/>
  <c r="Z96" i="1"/>
  <c r="Z99" i="1"/>
  <c r="Z103" i="1"/>
  <c r="Z106" i="1"/>
  <c r="Z110" i="1"/>
  <c r="Z113" i="1"/>
  <c r="Z120" i="1"/>
  <c r="AD123" i="1"/>
  <c r="AC123" i="1"/>
  <c r="Z127" i="1"/>
  <c r="Z121" i="1"/>
  <c r="K123" i="1"/>
  <c r="AA123" i="1"/>
  <c r="Z124" i="1"/>
  <c r="Z128" i="1"/>
  <c r="Z87" i="1"/>
  <c r="K93" i="1"/>
  <c r="K117" i="1"/>
  <c r="AB95" i="1"/>
  <c r="AA80" i="1"/>
  <c r="AE95" i="1"/>
  <c r="AA102" i="1"/>
  <c r="AE102" i="1"/>
  <c r="AE92" i="1"/>
  <c r="AA76" i="1"/>
  <c r="AE76" i="1"/>
  <c r="AE109" i="1"/>
  <c r="AE80" i="1"/>
  <c r="AE123" i="1"/>
  <c r="AA105" i="1"/>
  <c r="AE105" i="1"/>
  <c r="AE69" i="1"/>
  <c r="AA116" i="1"/>
  <c r="AE116" i="1"/>
  <c r="AA73" i="1"/>
  <c r="AE73" i="1"/>
  <c r="AA126" i="1"/>
  <c r="AE126" i="1"/>
  <c r="AA112" i="1"/>
  <c r="AE112" i="1"/>
  <c r="AE88" i="1"/>
  <c r="AA117" i="1"/>
  <c r="AE117" i="1"/>
  <c r="AB117" i="1"/>
  <c r="AB108" i="1"/>
  <c r="AA108" i="1"/>
  <c r="AE108" i="1"/>
  <c r="AB122" i="1"/>
  <c r="AA122" i="1"/>
  <c r="AE122" i="1"/>
  <c r="AB106" i="1"/>
  <c r="AA106" i="1"/>
  <c r="AE106" i="1"/>
  <c r="AB89" i="1"/>
  <c r="AA89" i="1"/>
  <c r="AE89" i="1"/>
  <c r="AA114" i="1"/>
  <c r="AE114" i="1"/>
  <c r="AB114" i="1"/>
  <c r="AA90" i="1"/>
  <c r="AE90" i="1"/>
  <c r="AB90" i="1"/>
  <c r="AA82" i="1"/>
  <c r="AE82" i="1"/>
  <c r="AB82" i="1"/>
  <c r="AA72" i="1"/>
  <c r="AE72" i="1"/>
  <c r="AB72" i="1"/>
  <c r="AB125" i="1"/>
  <c r="AA125" i="1"/>
  <c r="AE125" i="1"/>
  <c r="AA100" i="1"/>
  <c r="AE100" i="1"/>
  <c r="AB100" i="1"/>
  <c r="AA81" i="1"/>
  <c r="AE81" i="1"/>
  <c r="AB81" i="1"/>
  <c r="AA124" i="1"/>
  <c r="AE124" i="1"/>
  <c r="AB124" i="1"/>
  <c r="AB127" i="1"/>
  <c r="AA127" i="1"/>
  <c r="AE127" i="1"/>
  <c r="AB110" i="1"/>
  <c r="AA110" i="1"/>
  <c r="AE110" i="1"/>
  <c r="AB96" i="1"/>
  <c r="AA96" i="1"/>
  <c r="AE96" i="1"/>
  <c r="AA93" i="1"/>
  <c r="AE93" i="1"/>
  <c r="AB93" i="1"/>
  <c r="AB98" i="1"/>
  <c r="AA98" i="1"/>
  <c r="AE98" i="1"/>
  <c r="AB87" i="1"/>
  <c r="AA87" i="1"/>
  <c r="AE87" i="1"/>
  <c r="AB120" i="1"/>
  <c r="AA120" i="1"/>
  <c r="AE120" i="1"/>
  <c r="AB103" i="1"/>
  <c r="AA103" i="1"/>
  <c r="AE103" i="1"/>
  <c r="AB115" i="1"/>
  <c r="AA115" i="1"/>
  <c r="AE115" i="1"/>
  <c r="AB118" i="1"/>
  <c r="AA118" i="1"/>
  <c r="AE118" i="1"/>
  <c r="AA107" i="1"/>
  <c r="AE107" i="1"/>
  <c r="AB107" i="1"/>
  <c r="AA104" i="1"/>
  <c r="AE104" i="1"/>
  <c r="AB104" i="1"/>
  <c r="AB94" i="1"/>
  <c r="AA94" i="1"/>
  <c r="AE94" i="1"/>
  <c r="AB77" i="1"/>
  <c r="AA77" i="1"/>
  <c r="AE77" i="1"/>
  <c r="AB70" i="1"/>
  <c r="AA70" i="1"/>
  <c r="AE70" i="1"/>
  <c r="AA97" i="1"/>
  <c r="AE97" i="1"/>
  <c r="AB97" i="1"/>
  <c r="AB86" i="1"/>
  <c r="AA86" i="1"/>
  <c r="AE86" i="1"/>
  <c r="AB75" i="1"/>
  <c r="AA75" i="1"/>
  <c r="AE75" i="1"/>
  <c r="AB74" i="1"/>
  <c r="AA74" i="1"/>
  <c r="AE74" i="1"/>
  <c r="AA128" i="1"/>
  <c r="AE128" i="1"/>
  <c r="AB128" i="1"/>
  <c r="AA121" i="1"/>
  <c r="AE121" i="1"/>
  <c r="AB121" i="1"/>
  <c r="AB113" i="1"/>
  <c r="AA113" i="1"/>
  <c r="AE113" i="1"/>
  <c r="AB99" i="1"/>
  <c r="AA99" i="1"/>
  <c r="AE99" i="1"/>
  <c r="AB91" i="1"/>
  <c r="AA91" i="1"/>
  <c r="AE91" i="1"/>
  <c r="AA79" i="1"/>
  <c r="AE79" i="1"/>
  <c r="AB79" i="1"/>
  <c r="AA71" i="1"/>
  <c r="AE71" i="1"/>
  <c r="AB71" i="1"/>
  <c r="AB101" i="1"/>
  <c r="AA101" i="1"/>
  <c r="AE101" i="1"/>
  <c r="AA85" i="1"/>
  <c r="AE85" i="1"/>
  <c r="AB85" i="1"/>
  <c r="AA78" i="1"/>
  <c r="AE78" i="1"/>
  <c r="AB78" i="1"/>
  <c r="AB84" i="1"/>
  <c r="AA84" i="1"/>
  <c r="AE84" i="1"/>
  <c r="AE83" i="1"/>
  <c r="V9" i="1"/>
  <c r="M35" i="1"/>
  <c r="M36" i="1"/>
  <c r="M68" i="1"/>
  <c r="M65" i="1"/>
  <c r="M46" i="1"/>
  <c r="M50" i="1"/>
  <c r="M66" i="1"/>
  <c r="M53" i="1"/>
  <c r="M34" i="1"/>
  <c r="M40" i="1"/>
  <c r="M61" i="1"/>
  <c r="M42" i="1"/>
  <c r="M52" i="1"/>
  <c r="M17" i="1"/>
  <c r="M26" i="1"/>
  <c r="M24" i="1"/>
  <c r="M60" i="1"/>
  <c r="M19" i="1"/>
  <c r="M49" i="1"/>
  <c r="M32" i="1"/>
  <c r="M62" i="1"/>
  <c r="M22" i="1"/>
  <c r="M58" i="1"/>
  <c r="M20" i="1"/>
  <c r="M38" i="1"/>
  <c r="M48" i="1"/>
  <c r="M67" i="1"/>
  <c r="M29" i="1"/>
  <c r="M47" i="1"/>
  <c r="M64" i="1"/>
  <c r="M54" i="1"/>
  <c r="M41" i="1"/>
  <c r="M37" i="1"/>
  <c r="M25" i="1"/>
  <c r="M16" i="1"/>
  <c r="M56" i="1"/>
  <c r="M44" i="1"/>
  <c r="M43" i="1"/>
  <c r="M18" i="1"/>
  <c r="M30" i="1"/>
  <c r="M23" i="1"/>
  <c r="M59" i="1"/>
  <c r="M28" i="1"/>
  <c r="M55" i="1"/>
  <c r="M31" i="1"/>
  <c r="Z9" i="1"/>
  <c r="F221" i="13"/>
  <c r="F211" i="13"/>
  <c r="F212" i="13"/>
  <c r="F213" i="13"/>
  <c r="F214" i="13"/>
  <c r="F215" i="13"/>
  <c r="F216" i="13"/>
  <c r="F217" i="13"/>
  <c r="F218" i="13"/>
  <c r="F219" i="13"/>
  <c r="F220" i="13"/>
  <c r="F210" i="13"/>
  <c r="B221" i="13" a="1"/>
  <c r="AB9" i="1"/>
  <c r="Z10" i="1"/>
  <c r="AA9" i="1"/>
  <c r="B221" i="13"/>
  <c r="S51" i="1"/>
  <c r="S46"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V68" i="1"/>
  <c r="S68" i="1"/>
  <c r="V67" i="1"/>
  <c r="S67" i="1"/>
  <c r="V66" i="1"/>
  <c r="S66" i="1"/>
  <c r="V65" i="1"/>
  <c r="S65" i="1"/>
  <c r="V64" i="1"/>
  <c r="S64" i="1"/>
  <c r="V63" i="1"/>
  <c r="S63" i="1"/>
  <c r="J63" i="1"/>
  <c r="K63" i="1"/>
  <c r="V62" i="1"/>
  <c r="S62" i="1"/>
  <c r="V61" i="1"/>
  <c r="S61" i="1"/>
  <c r="V60" i="1"/>
  <c r="S60" i="1"/>
  <c r="V59" i="1"/>
  <c r="S59" i="1"/>
  <c r="V58" i="1"/>
  <c r="S58" i="1"/>
  <c r="V57" i="1"/>
  <c r="S57" i="1"/>
  <c r="J57" i="1"/>
  <c r="K57" i="1"/>
  <c r="V56" i="1"/>
  <c r="S56" i="1"/>
  <c r="V55" i="1"/>
  <c r="S55" i="1"/>
  <c r="V54" i="1"/>
  <c r="S54" i="1"/>
  <c r="V53" i="1"/>
  <c r="S53" i="1"/>
  <c r="V52" i="1"/>
  <c r="S52" i="1"/>
  <c r="V51" i="1"/>
  <c r="J51" i="1"/>
  <c r="K51" i="1"/>
  <c r="V50" i="1"/>
  <c r="S50" i="1"/>
  <c r="V49" i="1"/>
  <c r="S49" i="1"/>
  <c r="V48" i="1"/>
  <c r="S48" i="1"/>
  <c r="V47" i="1"/>
  <c r="S47" i="1"/>
  <c r="V46" i="1"/>
  <c r="V45" i="1"/>
  <c r="S45" i="1"/>
  <c r="J45" i="1"/>
  <c r="K45" i="1"/>
  <c r="V44" i="1"/>
  <c r="S44" i="1"/>
  <c r="V43" i="1"/>
  <c r="S43" i="1"/>
  <c r="V42" i="1"/>
  <c r="S42" i="1"/>
  <c r="V41" i="1"/>
  <c r="S41" i="1"/>
  <c r="J39" i="1"/>
  <c r="K39" i="1"/>
  <c r="V38" i="1"/>
  <c r="S38" i="1"/>
  <c r="V37" i="1"/>
  <c r="S37" i="1"/>
  <c r="V36" i="1"/>
  <c r="S36" i="1"/>
  <c r="V35" i="1"/>
  <c r="S35" i="1"/>
  <c r="V34" i="1"/>
  <c r="S34" i="1"/>
  <c r="V33" i="1"/>
  <c r="S33" i="1"/>
  <c r="J33" i="1"/>
  <c r="K33" i="1"/>
  <c r="V32" i="1"/>
  <c r="S32" i="1"/>
  <c r="V31" i="1"/>
  <c r="S31" i="1"/>
  <c r="V30" i="1"/>
  <c r="S30" i="1"/>
  <c r="V29" i="1"/>
  <c r="S29" i="1"/>
  <c r="V28" i="1"/>
  <c r="S28" i="1"/>
  <c r="V27" i="1"/>
  <c r="S27" i="1"/>
  <c r="J27" i="1"/>
  <c r="K27" i="1"/>
  <c r="V26" i="1"/>
  <c r="S26" i="1"/>
  <c r="V25" i="1"/>
  <c r="S25" i="1"/>
  <c r="V24" i="1"/>
  <c r="S24" i="1"/>
  <c r="V23" i="1"/>
  <c r="S23" i="1"/>
  <c r="S22" i="1"/>
  <c r="V21" i="1"/>
  <c r="S21" i="1"/>
  <c r="J21" i="1"/>
  <c r="K21" i="1"/>
  <c r="J15" i="1"/>
  <c r="S14" i="1"/>
  <c r="V20" i="1"/>
  <c r="S20" i="1"/>
  <c r="V19" i="1"/>
  <c r="S19" i="1"/>
  <c r="V18" i="1"/>
  <c r="S18" i="1"/>
  <c r="V17" i="1"/>
  <c r="S17" i="1"/>
  <c r="V16" i="1"/>
  <c r="S16" i="1"/>
  <c r="V15" i="1"/>
  <c r="S15" i="1"/>
  <c r="AD22" i="1"/>
  <c r="AC22" i="1"/>
  <c r="Z22" i="1"/>
  <c r="AD49" i="1"/>
  <c r="AC49" i="1"/>
  <c r="AD50" i="1"/>
  <c r="AC50" i="1"/>
  <c r="K15" i="1"/>
  <c r="Z15" i="1"/>
  <c r="Z63" i="1"/>
  <c r="Z57" i="1"/>
  <c r="Z51" i="1"/>
  <c r="Z45" i="1"/>
  <c r="Z49" i="1"/>
  <c r="Z50" i="1"/>
  <c r="Z33" i="1"/>
  <c r="Z27" i="1"/>
  <c r="Z21" i="1"/>
  <c r="AA22" i="1"/>
  <c r="AE22" i="1"/>
  <c r="AB22" i="1"/>
  <c r="AA63" i="1"/>
  <c r="AB63" i="1"/>
  <c r="Z64" i="1"/>
  <c r="AA64" i="1"/>
  <c r="AA57" i="1"/>
  <c r="AB57" i="1"/>
  <c r="Z58" i="1"/>
  <c r="AB58" i="1"/>
  <c r="Z59" i="1"/>
  <c r="AA51" i="1"/>
  <c r="AB51" i="1"/>
  <c r="Z52" i="1"/>
  <c r="AB52" i="1"/>
  <c r="Z53" i="1"/>
  <c r="AA50" i="1"/>
  <c r="AB50" i="1"/>
  <c r="AA49" i="1"/>
  <c r="AB49" i="1"/>
  <c r="AA45" i="1"/>
  <c r="AB45" i="1"/>
  <c r="Z41" i="1"/>
  <c r="AA33" i="1"/>
  <c r="AA27" i="1"/>
  <c r="AB27" i="1"/>
  <c r="Z28" i="1"/>
  <c r="AB28" i="1"/>
  <c r="Z29" i="1"/>
  <c r="AA29" i="1"/>
  <c r="AA21" i="1"/>
  <c r="AB21" i="1"/>
  <c r="AA15" i="1"/>
  <c r="AB15" i="1"/>
  <c r="Z16" i="1"/>
  <c r="AA58" i="1"/>
  <c r="AA52" i="1"/>
  <c r="Z23" i="1"/>
  <c r="AA23" i="1"/>
  <c r="AA28" i="1"/>
  <c r="AA41" i="1"/>
  <c r="AB41" i="1"/>
  <c r="AB59" i="1"/>
  <c r="Z60" i="1"/>
  <c r="AA59" i="1"/>
  <c r="AB53" i="1"/>
  <c r="Z54" i="1"/>
  <c r="AA53" i="1"/>
  <c r="AB64" i="1"/>
  <c r="Z65" i="1"/>
  <c r="Z34" i="1"/>
  <c r="Z46" i="1"/>
  <c r="Z47" i="1"/>
  <c r="AB29"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E49" i="1"/>
  <c r="AE50" i="1"/>
  <c r="V13" i="1"/>
  <c r="V14" i="1"/>
  <c r="AA60" i="1"/>
  <c r="AB60" i="1"/>
  <c r="AA54" i="1"/>
  <c r="AB54" i="1"/>
  <c r="Z55" i="1"/>
  <c r="AB23" i="1"/>
  <c r="Z24" i="1"/>
  <c r="AB24" i="1"/>
  <c r="AA47" i="1"/>
  <c r="AB47" i="1"/>
  <c r="Z48" i="1"/>
  <c r="AA65" i="1"/>
  <c r="AB65" i="1"/>
  <c r="Z66" i="1"/>
  <c r="AA46" i="1"/>
  <c r="AB46" i="1"/>
  <c r="Z42" i="1"/>
  <c r="AA34" i="1"/>
  <c r="AB34" i="1"/>
  <c r="Z35" i="1"/>
  <c r="AA35" i="1"/>
  <c r="Z31" i="1"/>
  <c r="AA31" i="1"/>
  <c r="Z30" i="1"/>
  <c r="AA16" i="1"/>
  <c r="AB16" i="1"/>
  <c r="Z17" i="1"/>
  <c r="AA17" i="1"/>
  <c r="AB35" i="1"/>
  <c r="Z36" i="1"/>
  <c r="AB36" i="1"/>
  <c r="Z37" i="1"/>
  <c r="AA55" i="1"/>
  <c r="AB55" i="1"/>
  <c r="Z56" i="1"/>
  <c r="Z61" i="1"/>
  <c r="Z62" i="1"/>
  <c r="AA24" i="1"/>
  <c r="AA42" i="1"/>
  <c r="AB42" i="1"/>
  <c r="Z43" i="1"/>
  <c r="AA43" i="1"/>
  <c r="AA48" i="1"/>
  <c r="AB48" i="1"/>
  <c r="Z25" i="1"/>
  <c r="AB66" i="1"/>
  <c r="AA66" i="1"/>
  <c r="AA30" i="1"/>
  <c r="AB30" i="1"/>
  <c r="AB31" i="1"/>
  <c r="Z32" i="1"/>
  <c r="AB17" i="1"/>
  <c r="Z18" i="1"/>
  <c r="AA18" i="1"/>
  <c r="AA36" i="1"/>
  <c r="AA62" i="1"/>
  <c r="AB62" i="1"/>
  <c r="AA61" i="1"/>
  <c r="AB61" i="1"/>
  <c r="AA56" i="1"/>
  <c r="AB56" i="1"/>
  <c r="Z67" i="1"/>
  <c r="Z68" i="1"/>
  <c r="AB43" i="1"/>
  <c r="Z44" i="1"/>
  <c r="AA44" i="1"/>
  <c r="AB37" i="1"/>
  <c r="Z38" i="1"/>
  <c r="AA37" i="1"/>
  <c r="AA25" i="1"/>
  <c r="AB25" i="1"/>
  <c r="Z26" i="1"/>
  <c r="AA26" i="1"/>
  <c r="AA32" i="1"/>
  <c r="AB32" i="1"/>
  <c r="AB18" i="1"/>
  <c r="Z19" i="1"/>
  <c r="AB19" i="1"/>
  <c r="Z20" i="1"/>
  <c r="AA68" i="1"/>
  <c r="AB68" i="1"/>
  <c r="AA67" i="1"/>
  <c r="AB67" i="1"/>
  <c r="AA38" i="1"/>
  <c r="AB38" i="1"/>
  <c r="AB44" i="1"/>
  <c r="AB26" i="1"/>
  <c r="AA19" i="1"/>
  <c r="AA20" i="1"/>
  <c r="AB20" i="1"/>
  <c r="AA10" i="1"/>
  <c r="AB10" i="1"/>
  <c r="Z11" i="1"/>
  <c r="AA11" i="1"/>
  <c r="AB11" i="1"/>
  <c r="Z12" i="1"/>
  <c r="AB12" i="1"/>
  <c r="Z13" i="1"/>
  <c r="AA13" i="1"/>
  <c r="AB13" i="1"/>
  <c r="Z14" i="1"/>
  <c r="AA12" i="1"/>
  <c r="AA14" i="1"/>
  <c r="AB14" i="1"/>
  <c r="B223" i="13"/>
  <c r="B222" i="13"/>
  <c r="M9" i="1"/>
  <c r="N9" i="1"/>
  <c r="O9" i="1"/>
  <c r="M123" i="1"/>
  <c r="N123" i="1"/>
  <c r="M87" i="1"/>
  <c r="N87" i="1"/>
  <c r="M93" i="1"/>
  <c r="N93" i="1"/>
  <c r="M99" i="1"/>
  <c r="N99" i="1"/>
  <c r="M69" i="1"/>
  <c r="N69" i="1"/>
  <c r="M81" i="1"/>
  <c r="N81" i="1"/>
  <c r="M111" i="1"/>
  <c r="N111" i="1"/>
  <c r="M105" i="1"/>
  <c r="N105" i="1"/>
  <c r="M75" i="1"/>
  <c r="N75" i="1"/>
  <c r="M117" i="1"/>
  <c r="N117" i="1"/>
  <c r="M39" i="1"/>
  <c r="N39" i="1"/>
  <c r="M27" i="1"/>
  <c r="N27" i="1"/>
  <c r="M21" i="1"/>
  <c r="N21" i="1"/>
  <c r="M51" i="1"/>
  <c r="N51" i="1"/>
  <c r="M45" i="1"/>
  <c r="N45" i="1"/>
  <c r="M33" i="1"/>
  <c r="N33" i="1"/>
  <c r="M63" i="1"/>
  <c r="N63" i="1"/>
  <c r="M57" i="1"/>
  <c r="N57" i="1"/>
  <c r="M15" i="1"/>
  <c r="N15" i="1"/>
  <c r="O105" i="1"/>
  <c r="P105" i="1"/>
  <c r="O111" i="1"/>
  <c r="P111" i="1"/>
  <c r="O93" i="1"/>
  <c r="P93" i="1"/>
  <c r="O117" i="1"/>
  <c r="P117" i="1"/>
  <c r="O81" i="1"/>
  <c r="P81" i="1"/>
  <c r="O87" i="1"/>
  <c r="P87" i="1"/>
  <c r="P99" i="1"/>
  <c r="O99" i="1"/>
  <c r="O75" i="1"/>
  <c r="P75" i="1"/>
  <c r="O69" i="1"/>
  <c r="P69" i="1"/>
  <c r="O123" i="1"/>
  <c r="P123" i="1"/>
  <c r="Z42" i="18"/>
  <c r="N42" i="18"/>
  <c r="AF26" i="18"/>
  <c r="N26" i="18"/>
  <c r="AF18" i="18"/>
  <c r="T10" i="18"/>
  <c r="N34" i="18"/>
  <c r="T34" i="18"/>
  <c r="T18" i="18"/>
  <c r="Z18" i="18"/>
  <c r="Z10" i="18"/>
  <c r="AL18" i="18"/>
  <c r="Z26" i="18"/>
  <c r="P57" i="1"/>
  <c r="O57"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O51" i="1"/>
  <c r="AJ42" i="18"/>
  <c r="AJ18" i="18"/>
  <c r="AD26" i="18"/>
  <c r="L10" i="18"/>
  <c r="AD10" i="18"/>
  <c r="X18" i="18"/>
  <c r="AD42" i="18"/>
  <c r="L18" i="18"/>
  <c r="R10" i="18"/>
  <c r="P51" i="1"/>
  <c r="O63" i="1"/>
  <c r="AD63" i="1"/>
  <c r="AB36" i="18"/>
  <c r="AH12" i="18"/>
  <c r="P28" i="18"/>
  <c r="AH20" i="18"/>
  <c r="P36" i="18"/>
  <c r="V12" i="18"/>
  <c r="AH28" i="18"/>
  <c r="AB20" i="18"/>
  <c r="J12" i="18"/>
  <c r="J20" i="18"/>
  <c r="P63" i="1"/>
  <c r="P44" i="18"/>
  <c r="AB44" i="18"/>
  <c r="V28" i="18"/>
  <c r="V36" i="18"/>
  <c r="J28" i="18"/>
  <c r="AH36" i="18"/>
  <c r="J44" i="18"/>
  <c r="P12" i="18"/>
  <c r="AB12" i="18"/>
  <c r="V44" i="18"/>
  <c r="AH44" i="18"/>
  <c r="V20" i="18"/>
  <c r="P20" i="18"/>
  <c r="J36" i="18"/>
  <c r="AB28" i="18"/>
  <c r="T38" i="18"/>
  <c r="AF22" i="18"/>
  <c r="N38" i="18"/>
  <c r="AF30" i="18"/>
  <c r="AL6" i="18"/>
  <c r="Z6" i="18"/>
  <c r="P21" i="1"/>
  <c r="T14" i="18"/>
  <c r="T22" i="18"/>
  <c r="N6" i="18"/>
  <c r="AL30" i="18"/>
  <c r="Z22" i="18"/>
  <c r="Z14" i="18"/>
  <c r="O21" i="1"/>
  <c r="Z30" i="18"/>
  <c r="AL38" i="18"/>
  <c r="AL14" i="18"/>
  <c r="AF6" i="18"/>
  <c r="AL22" i="18"/>
  <c r="T30" i="18"/>
  <c r="Z38" i="18"/>
  <c r="AF14" i="18"/>
  <c r="N30" i="18"/>
  <c r="N14" i="18"/>
  <c r="N22" i="18"/>
  <c r="AF38" i="18"/>
  <c r="T6" i="18"/>
  <c r="O33" i="1"/>
  <c r="AD33" i="1"/>
  <c r="X32" i="18"/>
  <c r="AD32" i="18"/>
  <c r="AJ8" i="18"/>
  <c r="L16" i="18"/>
  <c r="R32" i="18"/>
  <c r="AJ32" i="18"/>
  <c r="P33" i="1"/>
  <c r="R40" i="18"/>
  <c r="AJ40" i="18"/>
  <c r="AD24" i="18"/>
  <c r="AJ24" i="18"/>
  <c r="R24" i="18"/>
  <c r="AJ16" i="18"/>
  <c r="AD8" i="18"/>
  <c r="L32" i="18"/>
  <c r="L40" i="18"/>
  <c r="R16" i="18"/>
  <c r="L24" i="18"/>
  <c r="AD16" i="18"/>
  <c r="L8" i="18"/>
  <c r="R8" i="18"/>
  <c r="X40" i="18"/>
  <c r="X8" i="18"/>
  <c r="X16" i="18"/>
  <c r="AD40" i="18"/>
  <c r="X24" i="18"/>
  <c r="O27" i="1"/>
  <c r="J40" i="18"/>
  <c r="J16" i="18"/>
  <c r="P16" i="18"/>
  <c r="V8" i="18"/>
  <c r="J8" i="18"/>
  <c r="J24" i="18"/>
  <c r="AH16" i="18"/>
  <c r="AB16" i="18"/>
  <c r="AB40" i="18"/>
  <c r="P32" i="18"/>
  <c r="P40" i="18"/>
  <c r="AH24" i="18"/>
  <c r="AB32" i="18"/>
  <c r="J32" i="18"/>
  <c r="V16" i="18"/>
  <c r="V40" i="18"/>
  <c r="AH32" i="18"/>
  <c r="V24" i="18"/>
  <c r="V32" i="18"/>
  <c r="AH8" i="18"/>
  <c r="AB8" i="18"/>
  <c r="P8" i="18"/>
  <c r="P27" i="1"/>
  <c r="AH40" i="18"/>
  <c r="AB24" i="18"/>
  <c r="P24" i="18"/>
  <c r="AD38" i="18"/>
  <c r="L30" i="18"/>
  <c r="AD30" i="18"/>
  <c r="AJ6" i="18"/>
  <c r="L14" i="18"/>
  <c r="L22" i="18"/>
  <c r="X6" i="18"/>
  <c r="L6" i="18"/>
  <c r="P15" i="1"/>
  <c r="R38" i="18"/>
  <c r="AJ38" i="18"/>
  <c r="L38" i="18"/>
  <c r="AD6" i="18"/>
  <c r="R6" i="18"/>
  <c r="AJ30" i="18"/>
  <c r="R30" i="18"/>
  <c r="AD22" i="18"/>
  <c r="AJ14" i="18"/>
  <c r="AJ22" i="18"/>
  <c r="AD14" i="18"/>
  <c r="X38" i="18"/>
  <c r="X14" i="18"/>
  <c r="R22" i="18"/>
  <c r="X22" i="18"/>
  <c r="O15"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D9" i="1"/>
  <c r="O45" i="1"/>
  <c r="AH34" i="18"/>
  <c r="AH42" i="18"/>
  <c r="AH18" i="18"/>
  <c r="AB10" i="18"/>
  <c r="J26" i="18"/>
  <c r="V18" i="18"/>
  <c r="V42" i="18"/>
  <c r="J42" i="18"/>
  <c r="P10" i="18"/>
  <c r="AB26" i="18"/>
  <c r="J34" i="18"/>
  <c r="J18" i="18"/>
  <c r="AH10" i="18"/>
  <c r="AB34" i="18"/>
  <c r="P26" i="18"/>
  <c r="P34" i="18"/>
  <c r="V34" i="18"/>
  <c r="AH26" i="18"/>
  <c r="J10" i="18"/>
  <c r="P45" i="1"/>
  <c r="P18" i="18"/>
  <c r="AB42" i="18"/>
  <c r="V10" i="18"/>
  <c r="AB18" i="18"/>
  <c r="P42" i="18"/>
  <c r="V26" i="18"/>
  <c r="Z32" i="18"/>
  <c r="N24" i="18"/>
  <c r="AL32" i="18"/>
  <c r="AL40" i="18"/>
  <c r="N8" i="18"/>
  <c r="AF24" i="18"/>
  <c r="Z40" i="18"/>
  <c r="Z16" i="18"/>
  <c r="N32" i="18"/>
  <c r="T32" i="18"/>
  <c r="N40" i="18"/>
  <c r="T8" i="18"/>
  <c r="O39" i="1"/>
  <c r="AF32" i="18"/>
  <c r="AL8" i="18"/>
  <c r="T24" i="18"/>
  <c r="N16" i="18"/>
  <c r="T16" i="18"/>
  <c r="Z24" i="18"/>
  <c r="AF16" i="18"/>
  <c r="P39" i="1"/>
  <c r="T40" i="18"/>
  <c r="AF8" i="18"/>
  <c r="AL24" i="18"/>
  <c r="Z8" i="18"/>
  <c r="AF40" i="18"/>
  <c r="AL16" i="18"/>
  <c r="AC33" i="1"/>
  <c r="AE33" i="1"/>
  <c r="AD27" i="1"/>
  <c r="AC27" i="1"/>
  <c r="AC63" i="1"/>
  <c r="AD65" i="1"/>
  <c r="AD58" i="1"/>
  <c r="AD57" i="1"/>
  <c r="AD52" i="1"/>
  <c r="AD51" i="1"/>
  <c r="AC51" i="1"/>
  <c r="AC9" i="1"/>
  <c r="AD10" i="1"/>
  <c r="AD16" i="1"/>
  <c r="AD15" i="1"/>
  <c r="AC15" i="1"/>
  <c r="AD21" i="1"/>
  <c r="AC21" i="1"/>
  <c r="AD46" i="1"/>
  <c r="AD45" i="1"/>
  <c r="AC45" i="1"/>
  <c r="AD34" i="1"/>
  <c r="AC34" i="1"/>
  <c r="AD28" i="1"/>
  <c r="AC28" i="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D23" i="1"/>
  <c r="AB36" i="19"/>
  <c r="AH16" i="19"/>
  <c r="P16" i="19"/>
  <c r="V46" i="19"/>
  <c r="J6" i="19"/>
  <c r="AB16" i="19"/>
  <c r="V26" i="19"/>
  <c r="V16" i="19"/>
  <c r="AB6" i="19"/>
  <c r="J26" i="19"/>
  <c r="P6" i="19"/>
  <c r="AH46" i="19"/>
  <c r="P46" i="19"/>
  <c r="AH26" i="19"/>
  <c r="AH36" i="19"/>
  <c r="V36" i="19"/>
  <c r="P36" i="19"/>
  <c r="V6" i="19"/>
  <c r="AH6" i="19"/>
  <c r="AB46" i="19"/>
  <c r="AB26" i="19"/>
  <c r="J16" i="19"/>
  <c r="P26" i="19"/>
  <c r="AE9" i="1"/>
  <c r="J36" i="19"/>
  <c r="J46" i="19"/>
  <c r="V25" i="19"/>
  <c r="AH25" i="19"/>
  <c r="P45" i="19"/>
  <c r="AH45" i="19"/>
  <c r="AH15" i="19"/>
  <c r="AB55" i="19"/>
  <c r="J45" i="19"/>
  <c r="AH35" i="19"/>
  <c r="V45" i="19"/>
  <c r="AH55" i="19"/>
  <c r="V15" i="19"/>
  <c r="J25" i="19"/>
  <c r="V35" i="19"/>
  <c r="AE63" i="1"/>
  <c r="P25" i="19"/>
  <c r="V55" i="19"/>
  <c r="J15" i="19"/>
  <c r="AB15" i="19"/>
  <c r="J35" i="19"/>
  <c r="AB35" i="19"/>
  <c r="J55" i="19"/>
  <c r="AB25" i="19"/>
  <c r="P35" i="19"/>
  <c r="P55" i="19"/>
  <c r="AB45" i="19"/>
  <c r="P15" i="19"/>
  <c r="J47" i="19"/>
  <c r="V27" i="19"/>
  <c r="AH7" i="19"/>
  <c r="P47" i="19"/>
  <c r="AB27" i="19"/>
  <c r="J17" i="19"/>
  <c r="V47" i="19"/>
  <c r="J37" i="19"/>
  <c r="AE15" i="1"/>
  <c r="AB37" i="19"/>
  <c r="J27" i="19"/>
  <c r="V7" i="19"/>
  <c r="AH37" i="19"/>
  <c r="P27" i="19"/>
  <c r="AB7" i="19"/>
  <c r="P17" i="19"/>
  <c r="V17" i="19"/>
  <c r="AH47" i="19"/>
  <c r="P37" i="19"/>
  <c r="AB17" i="19"/>
  <c r="J7" i="19"/>
  <c r="V37" i="19"/>
  <c r="AH17" i="19"/>
  <c r="P7" i="19"/>
  <c r="AH27" i="19"/>
  <c r="AB47" i="19"/>
  <c r="AE51"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57" i="1"/>
  <c r="AD64" i="1"/>
  <c r="AC64" i="1"/>
  <c r="AE27"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E21"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D11" i="1"/>
  <c r="AC10" i="1"/>
  <c r="AC65" i="1"/>
  <c r="AD66" i="1"/>
  <c r="AD35" i="1"/>
  <c r="AD41" i="1"/>
  <c r="AC41" i="1"/>
  <c r="AD42" i="1"/>
  <c r="V32" i="19"/>
  <c r="P42" i="19"/>
  <c r="J12" i="19"/>
  <c r="J32" i="19"/>
  <c r="AB52" i="19"/>
  <c r="AE45" i="1"/>
  <c r="J22" i="19"/>
  <c r="V22" i="19"/>
  <c r="J52" i="19"/>
  <c r="AH12" i="19"/>
  <c r="J42" i="19"/>
  <c r="AH42" i="19"/>
  <c r="P32" i="19"/>
  <c r="AB12" i="19"/>
  <c r="AH32" i="19"/>
  <c r="AB32" i="19"/>
  <c r="AB42" i="19"/>
  <c r="V42" i="19"/>
  <c r="V12" i="19"/>
  <c r="V52" i="19"/>
  <c r="AB22" i="19"/>
  <c r="AH52" i="19"/>
  <c r="AH22" i="19"/>
  <c r="P22" i="19"/>
  <c r="P12" i="19"/>
  <c r="P52" i="19"/>
  <c r="AD47" i="1"/>
  <c r="AC47" i="1"/>
  <c r="AD48" i="1"/>
  <c r="AC48" i="1"/>
  <c r="AC46" i="1"/>
  <c r="AD17" i="1"/>
  <c r="AC16" i="1"/>
  <c r="AC52" i="1"/>
  <c r="AD53" i="1"/>
  <c r="AC58" i="1"/>
  <c r="AD59" i="1"/>
  <c r="AD29" i="1"/>
  <c r="W37" i="19"/>
  <c r="AI7" i="19"/>
  <c r="W17" i="19"/>
  <c r="W27" i="19"/>
  <c r="Q47" i="19"/>
  <c r="W7" i="19"/>
  <c r="AI17" i="19"/>
  <c r="K47" i="19"/>
  <c r="AI47" i="19"/>
  <c r="Q27" i="19"/>
  <c r="AC27" i="19"/>
  <c r="AC47" i="19"/>
  <c r="AC37" i="19"/>
  <c r="AI37" i="19"/>
  <c r="AE16" i="1"/>
  <c r="AC17" i="19"/>
  <c r="K37" i="19"/>
  <c r="AC7" i="19"/>
  <c r="W47" i="19"/>
  <c r="Q37" i="19"/>
  <c r="AI27" i="19"/>
  <c r="Q7" i="19"/>
  <c r="K27" i="19"/>
  <c r="K17" i="19"/>
  <c r="K7" i="19"/>
  <c r="Q17" i="19"/>
  <c r="AC66" i="1"/>
  <c r="AD67" i="1"/>
  <c r="K35" i="19"/>
  <c r="AC25" i="19"/>
  <c r="K45" i="19"/>
  <c r="AI45" i="19"/>
  <c r="W45" i="19"/>
  <c r="Q35" i="19"/>
  <c r="K55" i="19"/>
  <c r="AC15" i="19"/>
  <c r="Q15" i="19"/>
  <c r="AC35" i="19"/>
  <c r="AI35" i="19"/>
  <c r="Q55" i="19"/>
  <c r="AI25" i="19"/>
  <c r="AE64"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E58"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AE65"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E57"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E47" i="1"/>
  <c r="AD12" i="19"/>
  <c r="AD32" i="19"/>
  <c r="AD22" i="19"/>
  <c r="X52" i="19"/>
  <c r="AD52" i="19"/>
  <c r="L42" i="19"/>
  <c r="R42" i="19"/>
  <c r="AJ21" i="19"/>
  <c r="AD31" i="19"/>
  <c r="R21" i="19"/>
  <c r="AD41" i="19"/>
  <c r="AJ11" i="19"/>
  <c r="AJ51" i="19"/>
  <c r="AE41" i="1"/>
  <c r="L41" i="19"/>
  <c r="AD11" i="19"/>
  <c r="L21" i="19"/>
  <c r="L11" i="19"/>
  <c r="X51" i="19"/>
  <c r="X21" i="19"/>
  <c r="R11" i="19"/>
  <c r="R31" i="19"/>
  <c r="AJ41" i="19"/>
  <c r="L31" i="19"/>
  <c r="R51" i="19"/>
  <c r="X31" i="19"/>
  <c r="X11" i="19"/>
  <c r="X41" i="19"/>
  <c r="AJ31" i="19"/>
  <c r="AD51" i="19"/>
  <c r="R41" i="19"/>
  <c r="AD21" i="19"/>
  <c r="L51" i="19"/>
  <c r="AD18" i="1"/>
  <c r="AC17" i="1"/>
  <c r="AC29" i="1"/>
  <c r="AD30" i="1"/>
  <c r="AC53" i="1"/>
  <c r="AD54" i="1"/>
  <c r="K42" i="19"/>
  <c r="AC32" i="19"/>
  <c r="W42" i="19"/>
  <c r="AI52" i="19"/>
  <c r="K22" i="19"/>
  <c r="Q32" i="19"/>
  <c r="AI12" i="19"/>
  <c r="AC52" i="19"/>
  <c r="Q42" i="19"/>
  <c r="AC42" i="19"/>
  <c r="K12" i="19"/>
  <c r="Q22" i="19"/>
  <c r="W52" i="19"/>
  <c r="AI42" i="19"/>
  <c r="W32" i="19"/>
  <c r="AI22" i="19"/>
  <c r="W12" i="19"/>
  <c r="AI32" i="19"/>
  <c r="AC12" i="19"/>
  <c r="Q12" i="19"/>
  <c r="Q52" i="19"/>
  <c r="AE46" i="1"/>
  <c r="K32" i="19"/>
  <c r="W22" i="19"/>
  <c r="K52" i="19"/>
  <c r="AC22" i="19"/>
  <c r="AC40" i="19"/>
  <c r="W10" i="19"/>
  <c r="AC50" i="19"/>
  <c r="Q10" i="19"/>
  <c r="Q30" i="19"/>
  <c r="W50" i="19"/>
  <c r="K40" i="19"/>
  <c r="Q50" i="19"/>
  <c r="W20" i="19"/>
  <c r="AE34" i="1"/>
  <c r="K10" i="19"/>
  <c r="Q40" i="19"/>
  <c r="K30" i="19"/>
  <c r="AI50" i="19"/>
  <c r="AI20" i="19"/>
  <c r="K50" i="19"/>
  <c r="AI40" i="19"/>
  <c r="W40" i="19"/>
  <c r="K20" i="19"/>
  <c r="AC10" i="19"/>
  <c r="AI10" i="19"/>
  <c r="AC20" i="19"/>
  <c r="AI30" i="19"/>
  <c r="AC30" i="19"/>
  <c r="W30" i="19"/>
  <c r="Q20" i="19"/>
  <c r="AE10"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D24" i="1"/>
  <c r="AC23" i="1"/>
  <c r="AC59" i="1"/>
  <c r="AD60" i="1"/>
  <c r="K39" i="19"/>
  <c r="AC39" i="19"/>
  <c r="W29" i="19"/>
  <c r="AI49" i="19"/>
  <c r="W9" i="19"/>
  <c r="AC19" i="19"/>
  <c r="Q49" i="19"/>
  <c r="W49" i="19"/>
  <c r="AC9" i="19"/>
  <c r="AI9" i="19"/>
  <c r="Q29" i="19"/>
  <c r="W39" i="19"/>
  <c r="Q39" i="19"/>
  <c r="AE28"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E52" i="1"/>
  <c r="Q33" i="19"/>
  <c r="AI23" i="19"/>
  <c r="K53" i="19"/>
  <c r="AC23" i="19"/>
  <c r="AC13" i="19"/>
  <c r="W23" i="19"/>
  <c r="W33" i="19"/>
  <c r="Q13" i="19"/>
  <c r="W13" i="19"/>
  <c r="AI13" i="19"/>
  <c r="Q43" i="19"/>
  <c r="Q23" i="19"/>
  <c r="W53" i="19"/>
  <c r="M12" i="19"/>
  <c r="AK42" i="19"/>
  <c r="AE32" i="19"/>
  <c r="AE48" i="1"/>
  <c r="M52" i="19"/>
  <c r="S12" i="19"/>
  <c r="M32" i="19"/>
  <c r="S52" i="19"/>
  <c r="Y52" i="19"/>
  <c r="Y42" i="19"/>
  <c r="AK12" i="19"/>
  <c r="S22" i="19"/>
  <c r="AE12" i="19"/>
  <c r="Y22" i="19"/>
  <c r="S32" i="19"/>
  <c r="AK52" i="19"/>
  <c r="M22" i="19"/>
  <c r="AK32" i="19"/>
  <c r="AE22" i="19"/>
  <c r="AE42" i="19"/>
  <c r="Y32" i="19"/>
  <c r="M42" i="19"/>
  <c r="Y12" i="19"/>
  <c r="AE52" i="19"/>
  <c r="AK22" i="19"/>
  <c r="S42" i="19"/>
  <c r="AC42" i="1"/>
  <c r="AD44" i="1"/>
  <c r="AC44" i="1"/>
  <c r="AD43" i="1"/>
  <c r="AC43" i="1"/>
  <c r="AC35" i="1"/>
  <c r="AD36" i="1"/>
  <c r="AD12" i="1"/>
  <c r="AC12" i="1"/>
  <c r="AC11" i="1"/>
  <c r="AD1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13" i="1"/>
  <c r="AD14" i="1"/>
  <c r="AC14" i="1"/>
  <c r="R40" i="19"/>
  <c r="AD10" i="19"/>
  <c r="X40" i="19"/>
  <c r="AJ10" i="19"/>
  <c r="R50" i="19"/>
  <c r="X10" i="19"/>
  <c r="R30" i="19"/>
  <c r="AE35" i="1"/>
  <c r="L10" i="19"/>
  <c r="L50" i="19"/>
  <c r="AJ20" i="19"/>
  <c r="AJ40" i="19"/>
  <c r="AD30" i="19"/>
  <c r="R20" i="19"/>
  <c r="AD50" i="19"/>
  <c r="AJ30" i="19"/>
  <c r="AJ50" i="19"/>
  <c r="X30" i="19"/>
  <c r="AD20" i="19"/>
  <c r="L40" i="19"/>
  <c r="X50" i="19"/>
  <c r="X20" i="19"/>
  <c r="AD40" i="19"/>
  <c r="R10" i="19"/>
  <c r="L30" i="19"/>
  <c r="L20" i="19"/>
  <c r="AC54" i="1"/>
  <c r="AD55" i="1"/>
  <c r="AC67" i="1"/>
  <c r="AD68" i="1"/>
  <c r="AC68" i="1"/>
  <c r="AD47" i="19"/>
  <c r="AJ27" i="19"/>
  <c r="AD27" i="19"/>
  <c r="AJ7" i="19"/>
  <c r="AJ37" i="19"/>
  <c r="L27" i="19"/>
  <c r="AD17" i="19"/>
  <c r="L37" i="19"/>
  <c r="R17" i="19"/>
  <c r="AJ17" i="19"/>
  <c r="X7" i="19"/>
  <c r="X47" i="19"/>
  <c r="L7" i="19"/>
  <c r="L17" i="19"/>
  <c r="R27" i="19"/>
  <c r="X27" i="19"/>
  <c r="R7" i="19"/>
  <c r="X17" i="19"/>
  <c r="AJ47" i="19"/>
  <c r="L47" i="19"/>
  <c r="R37" i="19"/>
  <c r="AD7" i="19"/>
  <c r="X37" i="19"/>
  <c r="AE17" i="1"/>
  <c r="R47" i="19"/>
  <c r="AD37" i="19"/>
  <c r="AD25" i="1"/>
  <c r="AC25" i="1"/>
  <c r="AC24" i="1"/>
  <c r="AD26" i="1"/>
  <c r="AC26" i="1"/>
  <c r="AJ43" i="19"/>
  <c r="AD33" i="19"/>
  <c r="X33" i="19"/>
  <c r="X13" i="19"/>
  <c r="AD43" i="19"/>
  <c r="L43" i="19"/>
  <c r="AE53" i="1"/>
  <c r="X23" i="19"/>
  <c r="R33" i="19"/>
  <c r="R43" i="19"/>
  <c r="AD53" i="19"/>
  <c r="AJ13" i="19"/>
  <c r="R23" i="19"/>
  <c r="R13" i="19"/>
  <c r="AJ53" i="19"/>
  <c r="L33" i="19"/>
  <c r="L23" i="19"/>
  <c r="X43" i="19"/>
  <c r="X53" i="19"/>
  <c r="AD13" i="19"/>
  <c r="L53" i="19"/>
  <c r="L13" i="19"/>
  <c r="AD23" i="19"/>
  <c r="AJ33" i="19"/>
  <c r="AJ23" i="19"/>
  <c r="R53" i="19"/>
  <c r="AC18" i="1"/>
  <c r="AD19" i="1"/>
  <c r="M55" i="19"/>
  <c r="AK15" i="19"/>
  <c r="AE25" i="19"/>
  <c r="AE66"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E23"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E43"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E12" i="1"/>
  <c r="O11" i="19"/>
  <c r="O21" i="19"/>
  <c r="O51" i="19"/>
  <c r="AA31" i="19"/>
  <c r="AM31" i="19"/>
  <c r="AG51" i="19"/>
  <c r="AA41" i="19"/>
  <c r="AM11" i="19"/>
  <c r="U21" i="19"/>
  <c r="AG41" i="19"/>
  <c r="AM21" i="19"/>
  <c r="AM51" i="19"/>
  <c r="O41" i="19"/>
  <c r="U11" i="19"/>
  <c r="AG31" i="19"/>
  <c r="U41" i="19"/>
  <c r="AE44" i="1"/>
  <c r="AG11" i="19"/>
  <c r="AM41" i="19"/>
  <c r="AA21" i="19"/>
  <c r="AA51" i="19"/>
  <c r="U51" i="19"/>
  <c r="U31" i="19"/>
  <c r="AA11" i="19"/>
  <c r="AG21" i="19"/>
  <c r="O31" i="19"/>
  <c r="AC60" i="1"/>
  <c r="AD61" i="1"/>
  <c r="AC30" i="1"/>
  <c r="AD31" i="1"/>
  <c r="AC31" i="1"/>
  <c r="AD32" i="1"/>
  <c r="AC32" i="1"/>
  <c r="AJ46" i="19"/>
  <c r="AD46" i="19"/>
  <c r="L36" i="19"/>
  <c r="X16" i="19"/>
  <c r="AJ26" i="19"/>
  <c r="L46" i="19"/>
  <c r="X6" i="19"/>
  <c r="R36" i="19"/>
  <c r="X36" i="19"/>
  <c r="R6" i="19"/>
  <c r="AJ6" i="19"/>
  <c r="AD36" i="19"/>
  <c r="R46" i="19"/>
  <c r="AD26" i="19"/>
  <c r="L16" i="19"/>
  <c r="AD16" i="19"/>
  <c r="AE11" i="1"/>
  <c r="X46" i="19"/>
  <c r="X26" i="19"/>
  <c r="AJ36" i="19"/>
  <c r="R26" i="19"/>
  <c r="AD6" i="19"/>
  <c r="L6" i="19"/>
  <c r="L26" i="19"/>
  <c r="R16" i="19"/>
  <c r="AJ16" i="19"/>
  <c r="AC36" i="1"/>
  <c r="AD37" i="1"/>
  <c r="AE11" i="19"/>
  <c r="Y41" i="19"/>
  <c r="M41" i="19"/>
  <c r="Y21" i="19"/>
  <c r="AK41" i="19"/>
  <c r="S31" i="19"/>
  <c r="M31" i="19"/>
  <c r="M51" i="19"/>
  <c r="Y51" i="19"/>
  <c r="AK21" i="19"/>
  <c r="AK31" i="19"/>
  <c r="Y11" i="19"/>
  <c r="AE41" i="19"/>
  <c r="AE21" i="19"/>
  <c r="S51" i="19"/>
  <c r="AE51" i="19"/>
  <c r="AK51" i="19"/>
  <c r="M21" i="19"/>
  <c r="AE31" i="19"/>
  <c r="AE42" i="1"/>
  <c r="S41" i="19"/>
  <c r="AK11" i="19"/>
  <c r="S11" i="19"/>
  <c r="Y31" i="19"/>
  <c r="S21" i="19"/>
  <c r="M11" i="19"/>
  <c r="L54" i="19"/>
  <c r="AJ14" i="19"/>
  <c r="AD44" i="19"/>
  <c r="X54" i="19"/>
  <c r="R14" i="19"/>
  <c r="AD24" i="19"/>
  <c r="AD34" i="19"/>
  <c r="R54" i="19"/>
  <c r="L34" i="19"/>
  <c r="AJ34" i="19"/>
  <c r="X24" i="19"/>
  <c r="AJ24" i="19"/>
  <c r="X44" i="19"/>
  <c r="R24" i="19"/>
  <c r="AE59" i="1"/>
  <c r="X34" i="19"/>
  <c r="L14" i="19"/>
  <c r="AD14" i="19"/>
  <c r="L44" i="19"/>
  <c r="R44" i="19"/>
  <c r="AD54" i="19"/>
  <c r="X14" i="19"/>
  <c r="AJ44" i="19"/>
  <c r="R34" i="19"/>
  <c r="AJ54" i="19"/>
  <c r="L24" i="19"/>
  <c r="AD29" i="19"/>
  <c r="AD19" i="19"/>
  <c r="R39" i="19"/>
  <c r="R9" i="19"/>
  <c r="X49" i="19"/>
  <c r="X9" i="19"/>
  <c r="AD39" i="19"/>
  <c r="R29" i="19"/>
  <c r="L49" i="19"/>
  <c r="X19" i="19"/>
  <c r="X29" i="19"/>
  <c r="X39" i="19"/>
  <c r="L9" i="19"/>
  <c r="AE29" i="1"/>
  <c r="AD9" i="19"/>
  <c r="AJ49" i="19"/>
  <c r="L39" i="19"/>
  <c r="R19" i="19"/>
  <c r="AJ39" i="19"/>
  <c r="AJ29" i="19"/>
  <c r="AJ19" i="19"/>
  <c r="AJ9" i="19"/>
  <c r="AD49" i="19"/>
  <c r="L19" i="19"/>
  <c r="L29" i="19"/>
  <c r="R49" i="19"/>
  <c r="AC37" i="1"/>
  <c r="AD38" i="1"/>
  <c r="AC38" i="1"/>
  <c r="AG39" i="19"/>
  <c r="AG29" i="19"/>
  <c r="AM19" i="19"/>
  <c r="O39" i="19"/>
  <c r="AE32"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60" i="1"/>
  <c r="AE24" i="19"/>
  <c r="S14" i="19"/>
  <c r="AK17" i="19"/>
  <c r="S27" i="19"/>
  <c r="S37" i="19"/>
  <c r="AE27" i="19"/>
  <c r="Y47" i="19"/>
  <c r="S7" i="19"/>
  <c r="M17" i="19"/>
  <c r="AE17" i="19"/>
  <c r="AK27" i="19"/>
  <c r="Y7" i="19"/>
  <c r="Y37" i="19"/>
  <c r="AE37" i="19"/>
  <c r="Y27" i="19"/>
  <c r="M47" i="19"/>
  <c r="AE18"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4" i="1"/>
  <c r="AE28" i="19"/>
  <c r="AA55" i="19"/>
  <c r="O45" i="19"/>
  <c r="AA15" i="19"/>
  <c r="AM55" i="19"/>
  <c r="O55" i="19"/>
  <c r="AG35" i="19"/>
  <c r="AM25" i="19"/>
  <c r="AM35" i="19"/>
  <c r="AA25" i="19"/>
  <c r="AM45" i="19"/>
  <c r="AG25" i="19"/>
  <c r="AA35" i="19"/>
  <c r="O25" i="19"/>
  <c r="U25" i="19"/>
  <c r="AG45" i="19"/>
  <c r="U35" i="19"/>
  <c r="AA45" i="19"/>
  <c r="AM15" i="19"/>
  <c r="U45" i="19"/>
  <c r="O35" i="19"/>
  <c r="O15" i="19"/>
  <c r="AE68" i="1"/>
  <c r="AG15" i="19"/>
  <c r="U15" i="19"/>
  <c r="AG55" i="19"/>
  <c r="U55" i="19"/>
  <c r="AE40" i="19"/>
  <c r="Y30" i="19"/>
  <c r="M20" i="19"/>
  <c r="AE36"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E31" i="1"/>
  <c r="T19" i="19"/>
  <c r="AL49" i="19"/>
  <c r="T29" i="19"/>
  <c r="AF29" i="19"/>
  <c r="T18" i="19"/>
  <c r="N48" i="19"/>
  <c r="N8" i="19"/>
  <c r="T28" i="19"/>
  <c r="AF38" i="19"/>
  <c r="Z28" i="19"/>
  <c r="Z18" i="19"/>
  <c r="AF8" i="19"/>
  <c r="AE25"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E67"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E30" i="1"/>
  <c r="M9" i="19"/>
  <c r="Y29" i="19"/>
  <c r="AC55" i="1"/>
  <c r="AD56" i="1"/>
  <c r="AC56" i="1"/>
  <c r="AM46" i="19"/>
  <c r="U36" i="19"/>
  <c r="AG16" i="19"/>
  <c r="O6" i="19"/>
  <c r="AA36" i="19"/>
  <c r="AM16" i="19"/>
  <c r="U6" i="19"/>
  <c r="AG46" i="19"/>
  <c r="AA16" i="19"/>
  <c r="AE14" i="1"/>
  <c r="AA6" i="19"/>
  <c r="AG6" i="19"/>
  <c r="AA46" i="19"/>
  <c r="AM26" i="19"/>
  <c r="U16" i="19"/>
  <c r="O36" i="19"/>
  <c r="U26" i="19"/>
  <c r="O46" i="19"/>
  <c r="AA26" i="19"/>
  <c r="AM6" i="19"/>
  <c r="U46" i="19"/>
  <c r="AG26" i="19"/>
  <c r="O16" i="19"/>
  <c r="AG36" i="19"/>
  <c r="O26" i="19"/>
  <c r="AM36" i="19"/>
  <c r="AC61" i="1"/>
  <c r="AD62" i="1"/>
  <c r="AC62" i="1"/>
  <c r="AD20" i="1"/>
  <c r="AC20" i="1"/>
  <c r="AC19" i="1"/>
  <c r="O8" i="19"/>
  <c r="AA48" i="19"/>
  <c r="AM38" i="19"/>
  <c r="U48" i="19"/>
  <c r="AA18" i="19"/>
  <c r="AG18" i="19"/>
  <c r="AG48" i="19"/>
  <c r="AM18" i="19"/>
  <c r="AA28" i="19"/>
  <c r="AG28" i="19"/>
  <c r="AA8" i="19"/>
  <c r="U18" i="19"/>
  <c r="AG38" i="19"/>
  <c r="U38" i="19"/>
  <c r="AM8" i="19"/>
  <c r="AA38" i="19"/>
  <c r="AM48" i="19"/>
  <c r="U28" i="19"/>
  <c r="O38" i="19"/>
  <c r="U8" i="19"/>
  <c r="AG8" i="19"/>
  <c r="AE26"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E54" i="1"/>
  <c r="M33" i="19"/>
  <c r="AF6" i="19"/>
  <c r="N46" i="19"/>
  <c r="Z26" i="19"/>
  <c r="AL6" i="19"/>
  <c r="AL36" i="19"/>
  <c r="AF26" i="19"/>
  <c r="Z6" i="19"/>
  <c r="T26" i="19"/>
  <c r="Z46" i="19"/>
  <c r="AF46" i="19"/>
  <c r="T46" i="19"/>
  <c r="T6" i="19"/>
  <c r="AF36" i="19"/>
  <c r="N26" i="19"/>
  <c r="Z16" i="19"/>
  <c r="AL26" i="19"/>
  <c r="Z36" i="19"/>
  <c r="N36" i="19"/>
  <c r="AL46" i="19"/>
  <c r="T36" i="19"/>
  <c r="AF16" i="19"/>
  <c r="N6" i="19"/>
  <c r="N16" i="19"/>
  <c r="AE13" i="1"/>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E62" i="1"/>
  <c r="AA14" i="19"/>
  <c r="O54" i="19"/>
  <c r="U44" i="19"/>
  <c r="U43" i="19"/>
  <c r="U13" i="19"/>
  <c r="AM53" i="19"/>
  <c r="AA53" i="19"/>
  <c r="AA43" i="19"/>
  <c r="O53" i="19"/>
  <c r="O23" i="19"/>
  <c r="O13" i="19"/>
  <c r="AG43" i="19"/>
  <c r="U33" i="19"/>
  <c r="U23" i="19"/>
  <c r="AM13" i="19"/>
  <c r="AM23" i="19"/>
  <c r="AG13" i="19"/>
  <c r="AA23" i="19"/>
  <c r="AG33" i="19"/>
  <c r="AA33" i="19"/>
  <c r="AM33" i="19"/>
  <c r="AA13" i="19"/>
  <c r="AE56"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E61" i="1"/>
  <c r="AF53" i="19"/>
  <c r="T43" i="19"/>
  <c r="Z53" i="19"/>
  <c r="N43" i="19"/>
  <c r="T23" i="19"/>
  <c r="AF43" i="19"/>
  <c r="Z13" i="19"/>
  <c r="Z43" i="19"/>
  <c r="AF23" i="19"/>
  <c r="AL13" i="19"/>
  <c r="Z23" i="19"/>
  <c r="AL43" i="19"/>
  <c r="AF13" i="19"/>
  <c r="AL23" i="19"/>
  <c r="N13" i="19"/>
  <c r="T33" i="19"/>
  <c r="AL53" i="19"/>
  <c r="N23" i="19"/>
  <c r="N53" i="19"/>
  <c r="AF33" i="19"/>
  <c r="N33" i="19"/>
  <c r="AE55" i="1"/>
  <c r="T53" i="19"/>
  <c r="AL33" i="19"/>
  <c r="T13" i="19"/>
  <c r="Z33" i="19"/>
  <c r="Z47" i="19"/>
  <c r="T7" i="19"/>
  <c r="AL37" i="19"/>
  <c r="T17" i="19"/>
  <c r="Z17" i="19"/>
  <c r="AF7" i="19"/>
  <c r="AF37" i="19"/>
  <c r="N17" i="19"/>
  <c r="AF27" i="19"/>
  <c r="AE19"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E38"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E20" i="1"/>
  <c r="AA17" i="19"/>
  <c r="O7" i="19"/>
  <c r="AA37" i="19"/>
  <c r="AA27" i="19"/>
  <c r="AM27" i="19"/>
  <c r="U17" i="19"/>
  <c r="U47" i="19"/>
  <c r="AG17" i="19"/>
  <c r="O47" i="19"/>
  <c r="Z40" i="19"/>
  <c r="AE37"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<sst xmlns="http://schemas.openxmlformats.org/spreadsheetml/2006/main" count="475" uniqueCount="263">
  <si>
    <t xml:space="preserve">Referencia </t>
  </si>
  <si>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</si>
  <si>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</si>
  <si>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</si>
  <si>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</si>
  <si>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</si>
  <si>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</si>
  <si>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</si>
  <si>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</si>
  <si>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</si>
  <si>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</si>
  <si>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</si>
  <si>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</si>
  <si>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</si>
  <si>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</si>
  <si>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</si>
  <si>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</si>
  <si>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</si>
  <si>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</si>
  <si>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</si>
  <si>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</si>
  <si>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</si>
  <si>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</si>
  <si>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</si>
  <si>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</si>
  <si>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</si>
  <si>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</si>
  <si>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</si>
  <si>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</si>
  <si>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</si>
  <si>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</si>
  <si>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</si>
  <si>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</si>
  <si>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</si>
  <si>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</si>
  <si>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</si>
  <si>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</si>
  <si>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</si>
  <si>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</si>
  <si>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</si>
  <si>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</si>
  <si>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</si>
  <si>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</si>
  <si>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</si>
  <si>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</si>
  <si>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</si>
  <si>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</si>
  <si>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</si>
  <si>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</si>
  <si>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</si>
  <si>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</si>
  <si>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</si>
  <si>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</si>
  <si>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</si>
  <si>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</si>
  <si>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</si>
  <si>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</si>
  <si>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</si>
  <si>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</si>
  <si>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</si>
  <si>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</si>
  <si>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</si>
  <si>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</si>
  <si>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</si>
  <si>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</si>
  <si>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</si>
  <si>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</si>
  <si>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</si>
  <si>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</si>
  <si>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</si>
  <si>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</si>
  <si>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</si>
  <si>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</si>
  <si>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</si>
  <si>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</si>
  <si>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</si>
  <si>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</si>
  <si>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</si>
  <si>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</si>
  <si>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</si>
  <si>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</si>
  <si>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</si>
  <si>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</si>
  <si>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</si>
  <si>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</si>
  <si>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</si>
  <si>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</si>
  <si>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</si>
  <si>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</si>
  <si>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</si>
  <si>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</si>
  <si>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</si>
  <si>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</si>
  <si>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</si>
  <si>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</si>
  <si>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</si>
  <si>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</si>
  <si>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</si>
  <si>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</si>
  <si>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</si>
  <si>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</si>
  <si>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</si>
  <si>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</si>
  <si>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</si>
  <si>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</si>
  <si>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</si>
  <si>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</si>
  <si>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</si>
  <si>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</si>
  <si>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</si>
  <si>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</si>
  <si>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</si>
  <si>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</si>
  <si>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</si>
  <si>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</si>
  <si>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</si>
  <si>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</si>
  <si>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</si>
  <si>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</si>
  <si>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</si>
  <si>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</si>
  <si>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</si>
  <si>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</si>
  <si>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</si>
  <si>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</si>
  <si>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</si>
  <si>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</si>
  <si>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</si>
  <si>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</si>
  <si>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</si>
  <si>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</si>
  <si>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</si>
  <si>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</si>
  <si>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</si>
  <si>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</si>
  <si>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</si>
  <si>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</si>
  <si>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</si>
  <si>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</si>
  <si>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</si>
  <si>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</si>
  <si>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</si>
  <si>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</si>
  <si>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</si>
  <si>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</si>
  <si>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</si>
  <si>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</si>
  <si>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</si>
  <si>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</si>
  <si>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</si>
  <si>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</si>
  <si>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</si>
  <si>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</si>
  <si>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</si>
  <si>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</si>
  <si>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</si>
  <si>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</si>
  <si>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</si>
  <si>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</si>
  <si>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</si>
  <si>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</si>
  <si>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Frecuencia con la cual se lleva a cabo la actividad</t>
  </si>
  <si>
    <t>Criterios de Impacto</t>
  </si>
  <si>
    <t>Utilice la lista de despligue que se encuentra parametrizada, le aparecerán las opciones: i)Preventivo, ii)Detectivo, iii)Correctivo.</t>
  </si>
  <si>
    <t>Utilice la lista de despligue que se encuentra parametrizada, le aparecerán las opciones: i)Automático, ii)Manual.</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</si>
  <si>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</si>
  <si>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</si>
  <si>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</si>
  <si>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</si>
  <si>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</si>
  <si>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</si>
  <si>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</si>
  <si>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</si>
  <si>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</si>
  <si>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</si>
  <si>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</si>
  <si>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</si>
  <si>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</si>
  <si>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</si>
  <si>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</si>
  <si>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</si>
  <si>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</si>
  <si>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</si>
  <si>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</si>
  <si>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</si>
  <si>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</si>
  <si>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Una matriz de riesgos, es una herramienta, útil, que permite identificar los riesgos a los que se está expuesto. De esta manera, se pueden determinar los niveles aceptables de exposición a aquellos, así como establecer el control apropiado frente a los mismos y monitorear la efectividad del método de control elegido. Físicamente, es una guía visual que permite, mediante su diseño, una rápida identificación de las prioridades que deben ser atendidas para así acelerar la toma de decisiones.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t>
    </r>
    <r>
      <rPr>
        <sz val="10"/>
        <rFont val="Arial Narrow"/>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</si>
  <si>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6" tint="-0.249977111117893"/>
        <rFont val="Arial Narrow"/>
        <family val="2"/>
      </rPr>
      <t>Paso 2: identificación del riesgo</t>
    </r>
    <r>
      <rPr>
        <sz val="11"/>
        <color theme="6" tint="-0.249977111117893"/>
        <rFont val="Arial Narrow"/>
        <family val="2"/>
      </rPr>
      <t>,</t>
    </r>
    <r>
      <rPr>
        <sz val="11"/>
        <rFont val="Arial Narrow"/>
        <family val="2"/>
      </rPr>
      <t xml:space="preserve"> donde se explica ampliamente las bases para adelanter este análisis.
Así mismo, considere en el </t>
    </r>
    <r>
      <rPr>
        <b/>
        <sz val="11"/>
        <color theme="6"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6"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</si>
  <si>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rFont val="Arial Narrow"/>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</si>
  <si>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9"/>
        <rFont val="Arial Narrow"/>
        <family val="2"/>
      </rPr>
      <t>Responsable de ejecutar el control + Acción + Complemento</t>
    </r>
  </si>
  <si>
    <t>Objetivo Estratégico</t>
  </si>
  <si>
    <t>Contexto Estrategico Interno - Enterno - Proceso</t>
  </si>
  <si>
    <r>
      <t>Utilice la lista de despligue que se encuentra parametrizada, le aparecerán las opciones:</t>
    </r>
    <r>
      <rPr>
        <b/>
        <sz val="9"/>
        <rFont val="Arial Narrow"/>
        <family val="2"/>
      </rPr>
      <t xml:space="preserve"> i)Estratégicos ii) Imagen iii) Operativos iv)Financieros v)Legal o de Cumplimiento vi) Tecnológicos vii) Fraude viii) Corrupción ix) Imparcialidad x) Confidencialidad xi) Seguridad de la información </t>
    </r>
  </si>
  <si>
    <t xml:space="preserve">Causa </t>
  </si>
  <si>
    <t>Corresponde a las razones por la cuales se puede presentar  el riesgo, redacte de la forma más concreta posible.</t>
  </si>
  <si>
    <r>
      <t xml:space="preserve">Analice las consecuencias que puede ocasionar a la organización la materialización del riesgo. El riesgo se puede clasificar en: Un </t>
    </r>
    <r>
      <rPr>
        <b/>
        <sz val="9"/>
        <rFont val="Arial Narrow"/>
        <family val="2"/>
      </rPr>
      <t>riesgo negativo</t>
    </r>
    <r>
      <rPr>
        <sz val="9"/>
        <rFont val="Arial Narrow"/>
        <family val="2"/>
      </rPr>
      <t xml:space="preserve"> es una amenaza, y cuando ocurre, se transforma en un problema. No obstante, un</t>
    </r>
    <r>
      <rPr>
        <b/>
        <sz val="9"/>
        <rFont val="Arial Narrow"/>
        <family val="2"/>
      </rPr>
      <t xml:space="preserve"> riesgo puede ser positivo</t>
    </r>
    <r>
      <rPr>
        <sz val="9"/>
        <rFont val="Arial Narrow"/>
        <family val="2"/>
      </rPr>
      <t xml:space="preserve"> al proporcionar una solución.</t>
    </r>
    <r>
      <rPr>
        <b/>
        <sz val="9"/>
        <rFont val="Arial Narrow"/>
        <family val="2"/>
      </rPr>
      <t xml:space="preserve"> </t>
    </r>
  </si>
  <si>
    <t xml:space="preserve">Permite definir unl consecutivo de riesgos.
Una entidad puede ir en el riesgo 150, pero tener 70 riesgos, lo que permite llevar una traza de los riesgos. Esta información la debe administrar la oficina  Subdireción de planeación o calidad .  Cuando un  riesgo salga del mapa no existirá otro riesgo con el mismo número. </t>
  </si>
  <si>
    <t>Identificar los Objetivo estrategico a cual afecta directamente el Riesgo</t>
  </si>
  <si>
    <t xml:space="preserve"> Descripción del Riesgo</t>
  </si>
  <si>
    <t>Riesgo</t>
  </si>
  <si>
    <t xml:space="preserve">Describir la amenaza que pueda materializarce  y afectar de manera Negativa o Positivamente su proceso </t>
  </si>
  <si>
    <t>Impacto o Consecuencia</t>
  </si>
  <si>
    <t>Contexto Estrategico Interno - Externo - Proceso</t>
  </si>
  <si>
    <r>
      <t xml:space="preserve">Identificar el contexto estrategico con el cual se relaciona directamente el riesgo. </t>
    </r>
    <r>
      <rPr>
        <b/>
        <sz val="9"/>
        <rFont val="Arial Narrow"/>
        <family val="2"/>
      </rPr>
      <t xml:space="preserve">Interno;  Externo; Proceso </t>
    </r>
    <r>
      <rPr>
        <sz val="9"/>
        <rFont val="Arial Narrow"/>
        <family val="2"/>
      </rPr>
      <t xml:space="preserve"> </t>
    </r>
  </si>
  <si>
    <r>
      <t>Defina el # de veces que se puede materializar el riesgo durante el año, (Recuerde la probabilidad u ocurrencia del riesgo se defien como el No. de veces que se pasa por el punto de riesgo en el periodo de 1 año). La matriz automáticamente hará el cálculo para el nivel de probabilidad inherente</t>
    </r>
    <r>
      <rPr>
        <sz val="9"/>
        <color theme="1"/>
        <rFont val="Arial Narrow"/>
        <family val="2"/>
      </rPr>
      <t xml:space="preserve"> (Columnas J-K)</t>
    </r>
  </si>
  <si>
    <r>
      <t>Utilice la lista de despligue que se encuentra parametrizada, le aparecerán las opciones de la tabla de Impacto en la Hoja 6 del presente documento. La matriz automáticamente hará el cálculo para el nivel de impacto inherente</t>
    </r>
    <r>
      <rPr>
        <sz val="9"/>
        <color theme="1"/>
        <rFont val="Arial Narrow"/>
        <family val="2"/>
      </rPr>
      <t xml:space="preserve"> (Columnas N-O)</t>
    </r>
  </si>
  <si>
    <r>
      <t xml:space="preserve">Teniendo en cuenta que ingresó la información de PROBABILIDAD e IMPACTO, la matriz automáticamente hará el cálculo para la zona de riesgo inherente </t>
    </r>
    <r>
      <rPr>
        <sz val="9"/>
        <color theme="1"/>
        <rFont val="Arial Narrow"/>
        <family val="2"/>
      </rPr>
      <t>(Columna P)</t>
    </r>
  </si>
  <si>
    <r>
      <t xml:space="preserve">Esta casilla no se diligencia, depende de la selección en la </t>
    </r>
    <r>
      <rPr>
        <sz val="9"/>
        <color theme="1"/>
        <rFont val="Arial Narrow"/>
        <family val="2"/>
      </rPr>
      <t>columna S.</t>
    </r>
  </si>
  <si>
    <r>
      <t>La matriz automáticamente hará el cálculo para el control analizado</t>
    </r>
    <r>
      <rPr>
        <sz val="9"/>
        <color rgb="FFFF0000"/>
        <rFont val="Arial Narrow"/>
        <family val="2"/>
      </rPr>
      <t xml:space="preserve"> </t>
    </r>
    <r>
      <rPr>
        <sz val="9"/>
        <color theme="1"/>
        <rFont val="Arial Narrow"/>
        <family val="2"/>
      </rPr>
      <t xml:space="preserve">(Columna V) </t>
    </r>
  </si>
  <si>
    <r>
      <t>La matriz automáticamente hará el cálculo, acorde con el control o controles definidos con sus atributos analizados, lo que permitirá establecer el</t>
    </r>
    <r>
      <rPr>
        <b/>
        <sz val="9"/>
        <rFont val="Arial Narrow"/>
        <family val="2"/>
      </rPr>
      <t xml:space="preserve"> nivel de riesgo inherente</t>
    </r>
    <r>
      <rPr>
        <sz val="9"/>
        <color theme="1"/>
        <rFont val="Arial Narrow"/>
        <family val="2"/>
      </rPr>
      <t xml:space="preserve"> (Columnas AA -AB- AC-AD-AE).</t>
    </r>
  </si>
  <si>
    <t>Negativo (Amenaza)</t>
  </si>
  <si>
    <t>30/1272021</t>
  </si>
  <si>
    <t xml:space="preserve">Seguridad de la información </t>
  </si>
  <si>
    <t>Proceso: PROCESO DE GESTION ADMINISTRATIVA, FINANCIERA Y CONTABLE</t>
  </si>
  <si>
    <r>
      <t>Objetivo:</t>
    </r>
    <r>
      <rPr>
        <sz val="10"/>
        <rFont val="Arial Narrow"/>
        <family val="2"/>
      </rPr>
      <t xml:space="preserve"> </t>
    </r>
    <r>
      <rPr>
        <b/>
        <sz val="10"/>
        <rFont val="Arial Narrow"/>
        <family val="2"/>
      </rPr>
      <t>Asesorar, Planear, dirigir, desarrollar, ejecutar y controlar  los procesos administrativos, financieros y contables del Instituto.</t>
    </r>
  </si>
  <si>
    <t>Alcance:  Coordinar los procesos de recaudo, pagos, inversiones y demás erogaciones de la Entidad. Coordinar, supervisar y controlar el área presupuestal, responder por el funcionamiento y mantenimiento del almacén, Inventarios de bienes muebles de la Entidad y desarrollar los procedimientos de liquidación de nómina y prestaciones sociales de los funcionarios de la Entidad.</t>
  </si>
  <si>
    <t xml:space="preserve">Financieros: Bajo presupuesto de funcionamiento que impide el desarrollo de proyectos, demoras en apropiación y ejecución de recursos.
Comunicación entre los procesos
Procesos: deficiente comunicación con planeación y contratación para la solicitud de recursos
Tecnología: Deficientes equipos tecnologicos
EXTERNOS
Económicos: Disminución del presupuesto por prioridades del Gobierno, Austeridad en el gasto.
Políticos: Cambio de gobierno,  desconocimiento de los procesos
Tecnológicos: caida de redes de sistemas e internet, red de las entidades financieras
Comunicación Externa: Deficiente conocimientos y comunicaciones para la asignación de rubros para proyectos
-	Legal: Cambios legales y normativos aplicables a la Entidad y a los procesos.
PROCESOS
Interacciones con otros procesos: Planeación, juridica y gestion documental
</t>
  </si>
  <si>
    <t>Posibilidad de afectación reputacional y ecnomico por requerimientos de los usuarios  e investigaciones administrativas, legales pon entes de control, debido a realización del Pago de Obligaciones sin el lleno de los requisitos formales</t>
  </si>
  <si>
    <t>Financieros</t>
  </si>
  <si>
    <t>Deficientes controles y revisión de las cuentas con sus soportes e impuestos liquidados correctamente
Deficiente revisión y supervisión de las cuentas por pagar por parte de los supervisores 
errores en los informes de supevisión
Errores involuntarios en el pago de las cuentas  (bancarias, rubros etc) .</t>
  </si>
  <si>
    <t>El profesional universitario coloca sello de revisión para poder hacer pago</t>
  </si>
  <si>
    <t>Revisión de documentos de soporte de pago por juridica y finnciera y contable</t>
  </si>
  <si>
    <t>Jefe de oficina administrativa y financiera</t>
  </si>
  <si>
    <t>Implementacion de formatos para revisión de cuentas</t>
  </si>
  <si>
    <t xml:space="preserve">Capacitación a supervisores y envío de solicitud para revisión de cuentas </t>
  </si>
  <si>
    <t>Posibilidad de afectación reputacional   debido a realización del proceso de expedicion de  certificados de registros  presupuestales fuera de los requisitos establecidos en los terminos procedimentalesy legales.</t>
  </si>
  <si>
    <t>Proyeccion de presupuesto inicial 
Reducción de los ingresos 
Dificultad en el recaudo de los recursos propios por el cierre de los parques por la pandemia</t>
  </si>
  <si>
    <t>Ejecucion presupuestal</t>
  </si>
  <si>
    <t>Movimientos bancarios Estado de cuenta</t>
  </si>
  <si>
    <t>Modificación del presupuesto para actualizar rubros a saldos reales</t>
  </si>
  <si>
    <t>Realizacion de comité para hacer seguimiento a la ejecucion presupuestal y priorización de la inversión para el segundo semestre</t>
  </si>
  <si>
    <t>Posibilidad de afectación reputacional  debido  ala  Rendición de cuentas e informes de manera extemporanea fuera  de las fechas establecidas y de los terminos procedimientales</t>
  </si>
  <si>
    <t xml:space="preserve">Informaciín desactualizada
Definición de responsables 
Asignación de funciones a  contratistas
Deficiente conocimiento de los aplicativos y requerimientos legales 
</t>
  </si>
  <si>
    <t xml:space="preserve">Calendario de presentacion de informes </t>
  </si>
  <si>
    <t xml:space="preserve">Revisiión constante de los fechas y requisitos </t>
  </si>
  <si>
    <t>Jefe de oficina de planeación</t>
  </si>
  <si>
    <t xml:space="preserve">Generar alertas por parte de la oficina de planeación </t>
  </si>
  <si>
    <t xml:space="preserve">Posibilidad de Perdida de informacion de la base de datos del software, por daños, no haber respaldo, alteracion, virus, falta de mantenimiento </t>
  </si>
  <si>
    <t>Daños en los equipos
Virus informatico
Siniestro
Condiciones del Contrato de mantenimiento y operación con el proveedor del servicio no favorables
Deficiencia en la realización Copias de seguridad 
Actualización permanente de los aplicativos</t>
  </si>
  <si>
    <t>Realización de copias de seguridad</t>
  </si>
  <si>
    <t>Contrato de asistencia, capacitacion y monitorero del software</t>
  </si>
  <si>
    <t>Adquisicion de la ampliación de la nube para almacenamiento de la base de datos</t>
  </si>
  <si>
    <t>mantenimiento preventivo a los equipos</t>
  </si>
  <si>
    <t>Cambio de proveedor de servicios tecnologicos</t>
  </si>
  <si>
    <t>Posibilidad de afectación reputacional   debido a realización del proceso de expedicion de  certificados de registros  presupuestales fuera de los requisitos establecidos en los terminos procedimentalesy legales, no tener respaldo
presupuestal para un contrato ya
oficializado.</t>
  </si>
  <si>
    <t>Posibilidad de afectación reputacional y ecnomico debido a realización del Pago de Obligaciones sin el lleno de los requisitos formales, por consiguiente incurrir en
investigaciones fiscales, disciplinarias y
penales.</t>
  </si>
  <si>
    <t>Posibilidad de realizar pagos a tercenros y proveedores favoreciendo a estos, en tiempo, valor, si el lleno de requisitos, con documentacion falsa 
por favorabilidad politica, lo que conlleva a sanciones disciplinarias</t>
  </si>
  <si>
    <t>Corrupción</t>
  </si>
  <si>
    <t xml:space="preserve">Favorecimiento personal y político
presiones por la direccion
errores voluntarios en la revisión
Inadecuada supervisión y revision de documentos
</t>
  </si>
  <si>
    <t>Incrementar las fuentes de financiación, en base a los impuestos e ingresos y los decretos reglamentarios para alcanzar una eficiencia administrativa.</t>
  </si>
  <si>
    <t xml:space="preserve">Se implemento el Formato verificación y seguimiento cuentas por pagar FR - AF – 18, Versión: 1.0, FECHA:  09/12/2021 </t>
  </si>
  <si>
    <t>Se incluyo dentro del plan de  capacitación anual para la vigencia 2022, se realizara a todos los supervisores que tienen a su cargo supervisión y demas acciones.</t>
  </si>
  <si>
    <t>Mejorar la proyeccion de los ingresos al presupuesto para la vigencia 2022</t>
  </si>
  <si>
    <t>Implementación del cronograma de informes para entes de control</t>
  </si>
  <si>
    <t>Mediante la arobacion tasa Proerprote según el acuerdo 022  de dicimebr ede 2021, estos recursos serán recaudados por el Municipio y luego seran transferidos al instituto para inversion en proyectos de deporte, SGP, 
sobre el recuado del arriendo de los locales y las canchas deportivas, determinó que realizar el cobro del arriendo y utilizacion de las canchas realizando el acto administrativo</t>
  </si>
  <si>
    <t>Se realizó los ajustes presupuestales necesarios para modificar el presupuesto de acuerdo a los traslado o adiciones realizadas en la vigencia.</t>
  </si>
  <si>
    <t>En reunion de comité de Gestion y desempeño del 31 de agosto de 2021 cuyo objetivo fue la Revision del Presupuesto, contratacion de  la oficina administrativa y financiera hace referencia al recaudo por aprovechamiento economicos, y la tasa deportiva.
se ha recaudado a la fecha $43.940.000  de 100.000.000 por concepto de aprovechamiento de escenarios deportivos, para un porcentaje del 44%.</t>
  </si>
  <si>
    <t>La oficina de control interno Implemento el cronograma de informes y realiza su seguimiento a traves de correos y oficios</t>
  </si>
  <si>
    <t>la oficina de planeacion revisa el cronograma de informes y demas para hacer seguimiiento</t>
  </si>
  <si>
    <t>El proveedor de servicios tecnológico no ha sido cambio cambiado por inconveniente financieros (aparece una factura adeuda por INDER, lo que no se ha permitido el cambio)</t>
  </si>
  <si>
    <t>Contratacion de mantenimiento y licencias y antivirus</t>
  </si>
  <si>
    <t>Los mantenimientos se han realizado con forma a lo estipulado en el plan de mantenimiento, (informe reposa en fichas Técnicas) Las licencias de antivirus son renovada anualmente, actualmente contamos con licenciamiento hasta el marzo 2022</t>
  </si>
  <si>
    <t>Contamos con la nube de Google DRIVE 2TB para almacenamiento de información del instituto. (La Base de datos del software financiero esta alojada en servidor del proveedor, estas copias son enviadas vía correo electrónica y almacenada en la Nube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</si>
</sst>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11"/>
      <color theme="6" tint="-0.249977111117893"/>
      <name val="Arial Narrow"/>
      <family val="2"/>
    </font>
    <font>
      <sz val="11"/>
      <color theme="6" tint="-0.249977111117893"/>
      <name val="Arial Narrow"/>
      <family val="2"/>
    </font>
    <font>
      <b/>
      <sz val="10"/>
      <color theme="6" tint="-0.249977111117893"/>
      <name val="Arial Narrow"/>
      <family val="2"/>
    </font>
    <font>
      <sz val="9"/>
      <color rgb="FFFF0000"/>
      <name val="Arial Narrow"/>
      <family val="2"/>
    </font>
    <font>
      <sz val="10"/>
      <color rgb="FFFF0000"/>
      <name val="Arial Narrow"/>
      <family val="2"/>
    </font>
    <font>
      <sz val="9"/>
      <color theme="1"/>
      <name val="Arial Narrow"/>
      <family val="2"/>
    </font>
    <font>
      <sz val="8"/>
      <name val="Calibri"/>
      <family val="2"/>
      <scheme val="minor"/>
    </font>
    <font>
      <sz val="22"/>
      <name val="Arial Narrow"/>
      <family val="2"/>
    </font>
  </fonts>
  <fills count="1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39997558519241921"/>
        <bgColor indexed="64"/>
      </patternFill>
    </fill>
  </fills>
  <borders count="69">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hair">
        <color theme="6" tint="-0.249977111117893"/>
      </left>
      <right style="hair">
        <color theme="6" tint="-0.249977111117893"/>
      </right>
      <top style="hair">
        <color theme="6" tint="-0.249977111117893"/>
      </top>
      <bottom/>
      <diagonal/>
    </border>
    <border>
      <left style="hair">
        <color theme="6" tint="-0.249977111117893"/>
      </left>
      <right style="hair">
        <color theme="6" tint="-0.249977111117893"/>
      </right>
      <top/>
      <bottom style="hair">
        <color theme="6" tint="-0.249977111117893"/>
      </bottom>
      <diagonal/>
    </border>
    <border>
      <left style="hair">
        <color theme="6" tint="-0.249977111117893"/>
      </left>
      <right style="hair">
        <color theme="6" tint="-0.249977111117893"/>
      </right>
      <top/>
      <bottom/>
      <diagonal/>
    </border>
    <border>
      <left/>
      <right style="hair">
        <color theme="6" tint="-0.249977111117893"/>
      </right>
      <top style="hair">
        <color theme="6" tint="-0.249977111117893"/>
      </top>
      <bottom style="hair">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3" fillId="0" borderId="0" applyFont="0" applyFill="0" applyBorder="0" applyAlignment="0" applyProtection="0"/>
    <xf numFmtId="0" fontId="46" fillId="0" borderId="0"/>
    <xf numFmtId="0" fontId="47" fillId="0" borderId="0"/>
    <xf numFmtId="0" fontId="5" fillId="0" borderId="0"/>
  </cellStyleXfs>
  <cellXfs count="386">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1"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2"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2"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8" fillId="3" borderId="37" xfId="2" applyFont="1" applyFill="1" applyBorder="1" applyProtection="1"/>
    <xf numFmtId="0" fontId="48" fillId="3" borderId="38" xfId="2" applyFont="1" applyFill="1" applyBorder="1" applyProtection="1"/>
    <xf numFmtId="0" fontId="48" fillId="3" borderId="39" xfId="2" applyFont="1" applyFill="1" applyBorder="1" applyProtection="1"/>
    <xf numFmtId="0" fontId="15" fillId="3" borderId="0" xfId="0" applyFont="1" applyFill="1" applyAlignment="1">
      <alignment vertical="center"/>
    </xf>
    <xf numFmtId="0" fontId="5" fillId="3" borderId="0" xfId="0" applyFont="1" applyFill="1"/>
    <xf numFmtId="0" fontId="35" fillId="3" borderId="0" xfId="0" applyFont="1" applyFill="1"/>
    <xf numFmtId="0" fontId="36" fillId="3" borderId="20" xfId="0" applyFont="1" applyFill="1" applyBorder="1" applyAlignment="1">
      <alignment horizontal="center" vertical="center" wrapText="1" readingOrder="1"/>
    </xf>
    <xf numFmtId="0" fontId="37" fillId="3" borderId="20" xfId="0" applyFont="1" applyFill="1" applyBorder="1" applyAlignment="1">
      <alignment horizontal="justify" vertical="center" wrapText="1" readingOrder="1"/>
    </xf>
    <xf numFmtId="9" fontId="36" fillId="3" borderId="29" xfId="0" applyNumberFormat="1"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7" fillId="3" borderId="19" xfId="0" applyFont="1" applyFill="1" applyBorder="1" applyAlignment="1">
      <alignment horizontal="justify" vertical="center" wrapText="1" readingOrder="1"/>
    </xf>
    <xf numFmtId="9" fontId="36" fillId="3" borderId="24" xfId="0" applyNumberFormat="1"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7" fillId="3" borderId="26" xfId="0" applyFont="1" applyFill="1" applyBorder="1" applyAlignment="1">
      <alignment horizontal="justify" vertical="center" wrapText="1" readingOrder="1"/>
    </xf>
    <xf numFmtId="0" fontId="37" fillId="3" borderId="27" xfId="0" applyFont="1" applyFill="1" applyBorder="1" applyAlignment="1">
      <alignment horizontal="center" vertical="center" wrapText="1" readingOrder="1"/>
    </xf>
    <xf numFmtId="0" fontId="45" fillId="3" borderId="0" xfId="0" applyFont="1" applyFill="1"/>
    <xf numFmtId="0" fontId="12" fillId="3" borderId="0" xfId="0" applyFont="1" applyFill="1"/>
    <xf numFmtId="0" fontId="30"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8" fillId="3" borderId="5"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6" xfId="2" applyFont="1" applyFill="1" applyBorder="1" applyProtection="1"/>
    <xf numFmtId="0" fontId="48" fillId="3" borderId="7" xfId="2" applyFont="1" applyFill="1" applyBorder="1" applyProtection="1"/>
    <xf numFmtId="0" fontId="48" fillId="3" borderId="9" xfId="2" applyFont="1" applyFill="1" applyBorder="1" applyProtection="1"/>
    <xf numFmtId="0" fontId="48" fillId="3" borderId="8"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6" xfId="2" applyFont="1" applyFill="1" applyBorder="1" applyAlignment="1" applyProtection="1"/>
    <xf numFmtId="0" fontId="50" fillId="3" borderId="5"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6" xfId="2" quotePrefix="1" applyFont="1" applyFill="1" applyBorder="1" applyAlignment="1" applyProtection="1">
      <alignment horizontal="left" vertical="top" wrapText="1"/>
    </xf>
    <xf numFmtId="0" fontId="1" fillId="3" borderId="61" xfId="0" applyFont="1" applyFill="1" applyBorder="1"/>
    <xf numFmtId="0" fontId="1" fillId="0" borderId="61" xfId="0" applyFont="1" applyBorder="1"/>
    <xf numFmtId="0" fontId="4" fillId="3" borderId="61" xfId="0" applyFont="1" applyFill="1" applyBorder="1" applyAlignment="1">
      <alignment horizontal="center" vertical="center"/>
    </xf>
    <xf numFmtId="0" fontId="4" fillId="2" borderId="61" xfId="0" applyFont="1" applyFill="1" applyBorder="1" applyAlignment="1">
      <alignment horizontal="center" vertical="center"/>
    </xf>
    <xf numFmtId="0" fontId="1" fillId="0" borderId="61" xfId="0" applyFont="1" applyBorder="1" applyAlignment="1" applyProtection="1">
      <alignment horizontal="center" vertical="center"/>
    </xf>
    <xf numFmtId="0" fontId="6"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textRotation="90"/>
      <protection locked="0"/>
    </xf>
    <xf numFmtId="9" fontId="1" fillId="0" borderId="61" xfId="0" applyNumberFormat="1" applyFont="1" applyBorder="1" applyAlignment="1" applyProtection="1">
      <alignment horizontal="center" vertical="center"/>
      <protection hidden="1"/>
    </xf>
    <xf numFmtId="164" fontId="1" fillId="0" borderId="61" xfId="1" applyNumberFormat="1" applyFont="1" applyBorder="1" applyAlignment="1">
      <alignment horizontal="center" vertical="center"/>
    </xf>
    <xf numFmtId="0" fontId="4" fillId="0" borderId="61" xfId="0" applyFont="1" applyFill="1" applyBorder="1" applyAlignment="1" applyProtection="1">
      <alignment horizontal="center" vertical="center" textRotation="90" wrapText="1"/>
      <protection hidden="1"/>
    </xf>
    <xf numFmtId="0" fontId="4" fillId="0" borderId="61" xfId="0" applyFont="1" applyBorder="1" applyAlignment="1" applyProtection="1">
      <alignment horizontal="center" vertical="center" textRotation="90"/>
      <protection hidden="1"/>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14" fontId="1" fillId="0" borderId="61" xfId="0" applyNumberFormat="1" applyFont="1" applyBorder="1" applyAlignment="1" applyProtection="1">
      <alignment horizontal="center" vertical="center"/>
      <protection locked="0"/>
    </xf>
    <xf numFmtId="0" fontId="1" fillId="3" borderId="61" xfId="0" applyFont="1" applyFill="1" applyBorder="1" applyAlignment="1">
      <alignment vertical="center"/>
    </xf>
    <xf numFmtId="0" fontId="1" fillId="0" borderId="61" xfId="0" applyFont="1" applyBorder="1" applyAlignment="1">
      <alignment vertical="center"/>
    </xf>
    <xf numFmtId="0" fontId="1" fillId="0" borderId="61" xfId="0" applyFont="1" applyBorder="1" applyAlignment="1" applyProtection="1">
      <alignment horizontal="justify" vertical="center"/>
      <protection locked="0"/>
    </xf>
    <xf numFmtId="164" fontId="1" fillId="9" borderId="61" xfId="1" applyNumberFormat="1" applyFont="1" applyFill="1" applyBorder="1" applyAlignment="1">
      <alignment horizontal="center" vertical="center"/>
    </xf>
    <xf numFmtId="0" fontId="1" fillId="0" borderId="61" xfId="0" applyFont="1" applyBorder="1" applyAlignment="1">
      <alignment horizontal="center" vertical="center"/>
    </xf>
    <xf numFmtId="0" fontId="1" fillId="0" borderId="61" xfId="0" applyFont="1" applyBorder="1" applyAlignment="1">
      <alignment horizontal="center"/>
    </xf>
    <xf numFmtId="0" fontId="4" fillId="14" borderId="61" xfId="0" applyFont="1" applyFill="1" applyBorder="1" applyAlignment="1">
      <alignment horizontal="center" vertical="center" textRotation="90"/>
    </xf>
    <xf numFmtId="0" fontId="1" fillId="0" borderId="62" xfId="0" applyFont="1" applyBorder="1" applyAlignment="1">
      <alignment horizontal="center" vertical="center"/>
    </xf>
    <xf numFmtId="0" fontId="1" fillId="0" borderId="62" xfId="0" applyFont="1" applyBorder="1"/>
    <xf numFmtId="0" fontId="1" fillId="0" borderId="62" xfId="0" applyFont="1" applyBorder="1" applyAlignment="1">
      <alignment horizontal="center"/>
    </xf>
    <xf numFmtId="0" fontId="1" fillId="0" borderId="63" xfId="0" applyFont="1" applyBorder="1" applyAlignment="1">
      <alignment horizontal="center" vertical="center"/>
    </xf>
    <xf numFmtId="0" fontId="1" fillId="0" borderId="63" xfId="0" applyFont="1" applyBorder="1"/>
    <xf numFmtId="0" fontId="1" fillId="0" borderId="63" xfId="0" applyFont="1" applyBorder="1" applyAlignment="1">
      <alignment horizontal="center"/>
    </xf>
    <xf numFmtId="0" fontId="36" fillId="14" borderId="31" xfId="0" applyFont="1" applyFill="1" applyBorder="1" applyAlignment="1">
      <alignment horizontal="center" vertical="center" wrapText="1" readingOrder="1"/>
    </xf>
    <xf numFmtId="0" fontId="36" fillId="14" borderId="32" xfId="0" applyFont="1" applyFill="1" applyBorder="1" applyAlignment="1">
      <alignment horizontal="center" vertical="center" wrapText="1" readingOrder="1"/>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Continuous"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9" fillId="3" borderId="0" xfId="2" applyFont="1" applyFill="1" applyBorder="1" applyProtection="1"/>
    <xf numFmtId="0" fontId="59" fillId="3" borderId="0" xfId="2" applyFont="1" applyFill="1" applyBorder="1" applyAlignment="1" applyProtection="1">
      <alignment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left" vertical="center" wrapText="1"/>
      <protection locked="0"/>
    </xf>
    <xf numFmtId="0" fontId="1" fillId="3" borderId="63" xfId="0" applyFont="1" applyFill="1" applyBorder="1" applyAlignment="1">
      <alignment horizontal="center" vertical="center"/>
    </xf>
    <xf numFmtId="0" fontId="1" fillId="3" borderId="63" xfId="0" applyFont="1" applyFill="1" applyBorder="1"/>
    <xf numFmtId="0" fontId="1" fillId="3" borderId="63" xfId="0" applyFont="1" applyFill="1" applyBorder="1" applyAlignment="1">
      <alignment horizontal="center"/>
    </xf>
    <xf numFmtId="0" fontId="1" fillId="3" borderId="65" xfId="0" applyFont="1" applyFill="1" applyBorder="1"/>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vertical="center" wrapText="1"/>
      <protection locked="0"/>
    </xf>
    <xf numFmtId="0" fontId="48" fillId="3" borderId="5"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6" xfId="2" applyFont="1" applyFill="1" applyBorder="1" applyAlignment="1" applyProtection="1">
      <alignment horizontal="left" vertical="top" wrapText="1"/>
    </xf>
    <xf numFmtId="0" fontId="54" fillId="3" borderId="50" xfId="2" applyFont="1" applyFill="1" applyBorder="1" applyAlignment="1" applyProtection="1">
      <alignment horizontal="justify" vertical="center" wrapText="1"/>
    </xf>
    <xf numFmtId="0" fontId="54" fillId="3" borderId="51" xfId="2" applyFont="1" applyFill="1" applyBorder="1" applyAlignment="1" applyProtection="1">
      <alignment horizontal="justify" vertical="center" wrapText="1"/>
    </xf>
    <xf numFmtId="0" fontId="53" fillId="3" borderId="57" xfId="0" applyFont="1" applyFill="1" applyBorder="1" applyAlignment="1" applyProtection="1">
      <alignment horizontal="left" vertical="center" wrapText="1"/>
    </xf>
    <xf numFmtId="0" fontId="53" fillId="3" borderId="58" xfId="0" applyFont="1" applyFill="1" applyBorder="1" applyAlignment="1" applyProtection="1">
      <alignment horizontal="left" vertical="center" wrapText="1"/>
    </xf>
    <xf numFmtId="0" fontId="53" fillId="3" borderId="48" xfId="0" applyFont="1" applyFill="1" applyBorder="1" applyAlignment="1" applyProtection="1">
      <alignment horizontal="left" vertical="center" wrapText="1"/>
    </xf>
    <xf numFmtId="0" fontId="53" fillId="3" borderId="49" xfId="0" applyFont="1" applyFill="1" applyBorder="1" applyAlignment="1" applyProtection="1">
      <alignment horizontal="left" vertical="center"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4" fillId="3" borderId="52" xfId="0" applyFont="1" applyFill="1" applyBorder="1" applyAlignment="1" applyProtection="1">
      <alignment horizontal="justify" vertical="center" wrapText="1"/>
    </xf>
    <xf numFmtId="0" fontId="54" fillId="3" borderId="53" xfId="0" applyFont="1" applyFill="1" applyBorder="1" applyAlignment="1" applyProtection="1">
      <alignment horizontal="justify" vertical="center" wrapText="1"/>
    </xf>
    <xf numFmtId="0" fontId="54" fillId="3" borderId="50" xfId="2" applyFont="1" applyFill="1" applyBorder="1" applyAlignment="1" applyProtection="1">
      <alignment horizontal="left" vertical="center" wrapText="1"/>
    </xf>
    <xf numFmtId="0" fontId="54" fillId="3" borderId="51" xfId="2" applyFont="1" applyFill="1" applyBorder="1" applyAlignment="1" applyProtection="1">
      <alignment horizontal="left" vertical="center" wrapText="1"/>
    </xf>
    <xf numFmtId="0" fontId="49" fillId="14" borderId="34" xfId="2" applyFont="1" applyFill="1" applyBorder="1" applyAlignment="1" applyProtection="1">
      <alignment horizontal="center" vertical="center" wrapText="1"/>
    </xf>
    <xf numFmtId="0" fontId="49" fillId="14" borderId="35" xfId="2" applyFont="1" applyFill="1" applyBorder="1" applyAlignment="1" applyProtection="1">
      <alignment horizontal="center" vertical="center" wrapText="1"/>
    </xf>
    <xf numFmtId="0" fontId="49" fillId="14" borderId="36" xfId="2" applyFont="1" applyFill="1" applyBorder="1" applyAlignment="1" applyProtection="1">
      <alignment horizontal="center" vertical="center" wrapText="1"/>
    </xf>
    <xf numFmtId="0" fontId="48" fillId="0" borderId="5"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6" xfId="2" quotePrefix="1" applyFont="1" applyBorder="1" applyAlignment="1" applyProtection="1">
      <alignment horizontal="left" vertical="center" wrapText="1"/>
    </xf>
    <xf numFmtId="0" fontId="48" fillId="0" borderId="54" xfId="2" quotePrefix="1" applyFont="1" applyBorder="1" applyAlignment="1" applyProtection="1">
      <alignment horizontal="left" vertical="center" wrapText="1"/>
    </xf>
    <xf numFmtId="0" fontId="48" fillId="0" borderId="55"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50" fillId="3" borderId="37" xfId="2" quotePrefix="1" applyFont="1" applyFill="1" applyBorder="1" applyAlignment="1" applyProtection="1">
      <alignment horizontal="left" vertical="top" wrapText="1"/>
    </xf>
    <xf numFmtId="0" fontId="51" fillId="3" borderId="38" xfId="2" quotePrefix="1" applyFont="1" applyFill="1" applyBorder="1" applyAlignment="1" applyProtection="1">
      <alignment horizontal="left" vertical="top" wrapText="1"/>
    </xf>
    <xf numFmtId="0" fontId="51" fillId="3" borderId="39" xfId="2" quotePrefix="1" applyFont="1" applyFill="1" applyBorder="1" applyAlignment="1" applyProtection="1">
      <alignment horizontal="left" vertical="top" wrapText="1"/>
    </xf>
    <xf numFmtId="0" fontId="48" fillId="0" borderId="5"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6" xfId="2" quotePrefix="1" applyFont="1" applyBorder="1" applyAlignment="1" applyProtection="1">
      <alignment horizontal="left" vertical="top" wrapText="1"/>
    </xf>
    <xf numFmtId="0" fontId="53" fillId="14" borderId="40" xfId="3" applyFont="1" applyFill="1" applyBorder="1" applyAlignment="1" applyProtection="1">
      <alignment horizontal="center" vertical="center" wrapText="1"/>
    </xf>
    <xf numFmtId="0" fontId="53" fillId="14" borderId="41" xfId="3" applyFont="1" applyFill="1" applyBorder="1" applyAlignment="1" applyProtection="1">
      <alignment horizontal="center" vertical="center" wrapText="1"/>
    </xf>
    <xf numFmtId="0" fontId="53" fillId="14" borderId="42" xfId="2" applyFont="1" applyFill="1" applyBorder="1" applyAlignment="1" applyProtection="1">
      <alignment horizontal="center" vertical="center"/>
    </xf>
    <xf numFmtId="0" fontId="53"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53" fillId="3" borderId="44" xfId="3" applyFont="1" applyFill="1" applyBorder="1" applyAlignment="1" applyProtection="1">
      <alignment horizontal="left" vertical="top" wrapText="1" readingOrder="1"/>
    </xf>
    <xf numFmtId="0" fontId="53" fillId="3" borderId="45" xfId="3" applyFont="1" applyFill="1" applyBorder="1" applyAlignment="1" applyProtection="1">
      <alignment horizontal="left" vertical="top" wrapText="1" readingOrder="1"/>
    </xf>
    <xf numFmtId="0" fontId="54" fillId="3" borderId="46" xfId="2" applyFont="1" applyFill="1" applyBorder="1" applyAlignment="1" applyProtection="1">
      <alignment horizontal="justify" vertical="center" wrapText="1"/>
    </xf>
    <xf numFmtId="0" fontId="54" fillId="3" borderId="47" xfId="2" applyFont="1" applyFill="1" applyBorder="1" applyAlignment="1" applyProtection="1">
      <alignment horizontal="justify"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3" fillId="3" borderId="57" xfId="3" applyFont="1" applyFill="1" applyBorder="1" applyAlignment="1" applyProtection="1">
      <alignment horizontal="left" vertical="center" wrapText="1" readingOrder="1"/>
    </xf>
    <xf numFmtId="0" fontId="53" fillId="3" borderId="58" xfId="3" applyFont="1" applyFill="1" applyBorder="1" applyAlignment="1" applyProtection="1">
      <alignment horizontal="left" vertical="center" wrapText="1" readingOrder="1"/>
    </xf>
    <xf numFmtId="0" fontId="4" fillId="0" borderId="61" xfId="0" applyFont="1" applyFill="1" applyBorder="1" applyAlignment="1" applyProtection="1">
      <alignment horizontal="center" vertical="center" wrapText="1"/>
      <protection hidden="1"/>
    </xf>
    <xf numFmtId="9" fontId="1" fillId="0" borderId="61" xfId="0" applyNumberFormat="1" applyFont="1" applyBorder="1" applyAlignment="1" applyProtection="1">
      <alignment horizontal="center" vertical="center" wrapText="1"/>
      <protection hidden="1"/>
    </xf>
    <xf numFmtId="0" fontId="4" fillId="0" borderId="61" xfId="0" applyFont="1" applyBorder="1" applyAlignment="1" applyProtection="1">
      <alignment horizontal="center" vertical="center"/>
      <protection hidden="1"/>
    </xf>
    <xf numFmtId="9" fontId="1" fillId="0" borderId="61" xfId="0" applyNumberFormat="1"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4" fillId="14" borderId="61" xfId="0" applyFont="1" applyFill="1" applyBorder="1" applyAlignment="1">
      <alignment horizontal="center" vertical="center"/>
    </xf>
    <xf numFmtId="0" fontId="1" fillId="0" borderId="62" xfId="0" applyFont="1" applyBorder="1" applyAlignment="1" applyProtection="1">
      <alignment horizontal="left" vertical="top" wrapText="1"/>
    </xf>
    <xf numFmtId="0" fontId="1" fillId="0" borderId="64" xfId="0" applyFont="1" applyBorder="1" applyAlignment="1" applyProtection="1">
      <alignment horizontal="left" vertical="top" wrapText="1"/>
    </xf>
    <xf numFmtId="0" fontId="1" fillId="0" borderId="63" xfId="0" applyFont="1" applyBorder="1" applyAlignment="1" applyProtection="1">
      <alignment horizontal="left" vertical="top" wrapText="1"/>
    </xf>
    <xf numFmtId="0" fontId="1" fillId="0" borderId="62" xfId="0" applyFont="1" applyBorder="1" applyAlignment="1" applyProtection="1">
      <alignment horizontal="center" vertical="center" wrapText="1"/>
    </xf>
    <xf numFmtId="0" fontId="1" fillId="0" borderId="64"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 vertical="center" textRotation="90" wrapText="1"/>
    </xf>
    <xf numFmtId="0" fontId="62" fillId="14" borderId="66" xfId="0" applyFont="1" applyFill="1" applyBorder="1" applyAlignment="1">
      <alignment horizontal="center" vertical="center" wrapText="1"/>
    </xf>
    <xf numFmtId="0" fontId="62" fillId="14" borderId="67" xfId="0" applyFont="1" applyFill="1" applyBorder="1" applyAlignment="1">
      <alignment horizontal="center" vertical="center" wrapText="1"/>
    </xf>
    <xf numFmtId="0" fontId="62" fillId="14" borderId="68" xfId="0" applyFont="1" applyFill="1" applyBorder="1" applyAlignment="1">
      <alignment horizontal="center" vertical="center" wrapText="1"/>
    </xf>
    <xf numFmtId="0" fontId="52" fillId="14" borderId="66" xfId="0" applyFont="1" applyFill="1" applyBorder="1" applyAlignment="1">
      <alignment horizontal="left" vertical="center" wrapText="1"/>
    </xf>
    <xf numFmtId="0" fontId="52" fillId="14" borderId="67" xfId="0" applyFont="1" applyFill="1" applyBorder="1" applyAlignment="1">
      <alignment horizontal="left" vertical="center" wrapText="1"/>
    </xf>
    <xf numFmtId="0" fontId="52" fillId="14" borderId="68" xfId="0" applyFont="1" applyFill="1" applyBorder="1" applyAlignment="1">
      <alignment horizontal="left" vertical="center" wrapText="1"/>
    </xf>
    <xf numFmtId="0" fontId="4" fillId="14" borderId="62" xfId="0" applyFont="1" applyFill="1" applyBorder="1" applyAlignment="1">
      <alignment horizontal="center" vertical="center" wrapText="1"/>
    </xf>
    <xf numFmtId="0" fontId="4" fillId="14" borderId="63" xfId="0" applyFont="1" applyFill="1" applyBorder="1" applyAlignment="1">
      <alignment horizontal="center" vertical="center" wrapText="1"/>
    </xf>
    <xf numFmtId="0" fontId="1" fillId="0" borderId="61" xfId="0" applyFont="1" applyBorder="1" applyAlignment="1">
      <alignment horizontal="left"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1" fillId="11" borderId="11"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2" fillId="0" borderId="3" xfId="0" applyFont="1" applyBorder="1" applyAlignment="1">
      <alignment horizontal="center" vertical="center" wrapText="1"/>
    </xf>
    <xf numFmtId="0" fontId="42" fillId="0" borderId="10" xfId="0" applyFont="1" applyBorder="1" applyAlignment="1">
      <alignment horizontal="center" vertical="center"/>
    </xf>
    <xf numFmtId="0" fontId="42" fillId="0" borderId="5" xfId="0" applyFont="1" applyBorder="1" applyAlignment="1">
      <alignment horizontal="center" vertical="center" wrapText="1"/>
    </xf>
    <xf numFmtId="0" fontId="42" fillId="0" borderId="0"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1" fillId="12" borderId="11" xfId="0" applyFont="1" applyFill="1" applyBorder="1" applyAlignment="1">
      <alignment horizontal="center" vertical="center" wrapText="1" readingOrder="1"/>
    </xf>
    <xf numFmtId="0" fontId="41" fillId="12" borderId="12" xfId="0" applyFont="1" applyFill="1" applyBorder="1" applyAlignment="1">
      <alignment horizontal="center" vertical="center" wrapText="1" readingOrder="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0" fillId="0" borderId="0" xfId="0" applyFont="1" applyAlignment="1">
      <alignment horizontal="center" vertical="center" wrapText="1"/>
    </xf>
    <xf numFmtId="0" fontId="21" fillId="0" borderId="0" xfId="0" applyFont="1" applyAlignment="1">
      <alignment horizontal="center" vertical="center" wrapText="1"/>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1" fillId="5" borderId="11" xfId="0" applyFont="1" applyFill="1" applyBorder="1" applyAlignment="1">
      <alignment horizontal="center" vertical="center" wrapText="1" readingOrder="1"/>
    </xf>
    <xf numFmtId="0" fontId="41" fillId="5" borderId="12" xfId="0" applyFont="1" applyFill="1" applyBorder="1" applyAlignment="1">
      <alignment horizontal="center" vertical="center" wrapText="1" readingOrder="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13" borderId="11" xfId="0" applyFont="1" applyFill="1" applyBorder="1" applyAlignment="1">
      <alignment horizontal="center" vertical="center" wrapText="1" readingOrder="1"/>
    </xf>
    <xf numFmtId="0" fontId="41" fillId="13" borderId="12"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2" fillId="0" borderId="10" xfId="0" applyFont="1" applyBorder="1" applyAlignment="1">
      <alignment horizontal="center" vertical="center" wrapText="1"/>
    </xf>
    <xf numFmtId="0" fontId="23" fillId="0" borderId="0" xfId="0" applyFont="1" applyAlignment="1">
      <alignment horizontal="center" vertical="center"/>
    </xf>
    <xf numFmtId="0" fontId="44" fillId="0" borderId="0" xfId="0" applyFont="1" applyAlignment="1">
      <alignment horizontal="center" vertical="center"/>
    </xf>
    <xf numFmtId="0" fontId="39" fillId="14" borderId="21" xfId="0" applyFont="1" applyFill="1" applyBorder="1" applyAlignment="1">
      <alignment horizontal="center" vertical="center" wrapText="1" readingOrder="1"/>
    </xf>
    <xf numFmtId="0" fontId="39" fillId="14" borderId="22" xfId="0" applyFont="1" applyFill="1" applyBorder="1" applyAlignment="1">
      <alignment horizontal="center" vertical="center" wrapText="1" readingOrder="1"/>
    </xf>
    <xf numFmtId="0" fontId="39" fillId="14" borderId="33"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4" borderId="30" xfId="0" applyFont="1" applyFill="1" applyBorder="1" applyAlignment="1">
      <alignment horizontal="center" vertical="center" wrapText="1" readingOrder="1"/>
    </xf>
    <xf numFmtId="0" fontId="36" fillId="14" borderId="3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6" fillId="3" borderId="23" xfId="0" applyFont="1" applyFill="1" applyBorder="1" applyAlignment="1">
      <alignment horizontal="center" vertical="center" wrapText="1" readingOrder="1"/>
    </xf>
    <xf numFmtId="0" fontId="36" fillId="3" borderId="20" xfId="0"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491">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44"/>
  <sheetViews>
    <sheetView zoomScale="98" zoomScaleNormal="98" workbookViewId="0">
      <selection activeCell="E22" sqref="E22:F22"/>
    </sheetView>
  </sheetViews>
  <sheetFormatPr baseColWidth="10" defaultColWidth="11.42578125" defaultRowHeight="15" x14ac:dyDescent="0.25"/>
  <cols>
    <col min="1" max="1" width="2.85546875" style="70" customWidth="1"/>
    <col min="2" max="2" width="32.5703125" style="70" customWidth="1"/>
    <col min="3" max="3" width="28.42578125" style="70" customWidth="1"/>
    <col min="4" max="4" width="19.7109375" style="70" customWidth="1"/>
    <col min="5" max="5" width="31.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74" t="s">
        <v>159</v>
      </c>
      <c r="C2" s="175"/>
      <c r="D2" s="175"/>
      <c r="E2" s="175"/>
      <c r="F2" s="175"/>
      <c r="G2" s="175"/>
      <c r="H2" s="176"/>
    </row>
    <row r="3" spans="2:8" x14ac:dyDescent="0.25">
      <c r="B3" s="71"/>
      <c r="C3" s="72"/>
      <c r="D3" s="72"/>
      <c r="E3" s="72"/>
      <c r="F3" s="72"/>
      <c r="G3" s="72"/>
      <c r="H3" s="73"/>
    </row>
    <row r="4" spans="2:8" ht="63" customHeight="1" x14ac:dyDescent="0.25">
      <c r="B4" s="177" t="s">
        <v>186</v>
      </c>
      <c r="C4" s="178"/>
      <c r="D4" s="178"/>
      <c r="E4" s="178"/>
      <c r="F4" s="178"/>
      <c r="G4" s="178"/>
      <c r="H4" s="179"/>
    </row>
    <row r="5" spans="2:8" ht="63" customHeight="1" x14ac:dyDescent="0.25">
      <c r="B5" s="180"/>
      <c r="C5" s="181"/>
      <c r="D5" s="181"/>
      <c r="E5" s="181"/>
      <c r="F5" s="181"/>
      <c r="G5" s="181"/>
      <c r="H5" s="182"/>
    </row>
    <row r="6" spans="2:8" ht="16.5" x14ac:dyDescent="0.25">
      <c r="B6" s="183" t="s">
        <v>157</v>
      </c>
      <c r="C6" s="184"/>
      <c r="D6" s="184"/>
      <c r="E6" s="184"/>
      <c r="F6" s="184"/>
      <c r="G6" s="184"/>
      <c r="H6" s="185"/>
    </row>
    <row r="7" spans="2:8" ht="95.25" customHeight="1" x14ac:dyDescent="0.25">
      <c r="B7" s="193" t="s">
        <v>187</v>
      </c>
      <c r="C7" s="194"/>
      <c r="D7" s="194"/>
      <c r="E7" s="194"/>
      <c r="F7" s="194"/>
      <c r="G7" s="194"/>
      <c r="H7" s="195"/>
    </row>
    <row r="8" spans="2:8" ht="16.5" x14ac:dyDescent="0.25">
      <c r="B8" s="106"/>
      <c r="C8" s="107"/>
      <c r="D8" s="107"/>
      <c r="E8" s="107"/>
      <c r="F8" s="107"/>
      <c r="G8" s="107"/>
      <c r="H8" s="108"/>
    </row>
    <row r="9" spans="2:8" ht="16.5" customHeight="1" x14ac:dyDescent="0.25">
      <c r="B9" s="186" t="s">
        <v>179</v>
      </c>
      <c r="C9" s="187"/>
      <c r="D9" s="187"/>
      <c r="E9" s="187"/>
      <c r="F9" s="187"/>
      <c r="G9" s="187"/>
      <c r="H9" s="188"/>
    </row>
    <row r="10" spans="2:8" ht="44.25" customHeight="1" x14ac:dyDescent="0.25">
      <c r="B10" s="186"/>
      <c r="C10" s="187"/>
      <c r="D10" s="187"/>
      <c r="E10" s="187"/>
      <c r="F10" s="187"/>
      <c r="G10" s="187"/>
      <c r="H10" s="188"/>
    </row>
    <row r="11" spans="2:8" ht="15.75" thickBot="1" x14ac:dyDescent="0.3">
      <c r="B11" s="94"/>
      <c r="C11" s="97"/>
      <c r="D11" s="102"/>
      <c r="E11" s="103"/>
      <c r="F11" s="103"/>
      <c r="G11" s="104"/>
      <c r="H11" s="105"/>
    </row>
    <row r="12" spans="2:8" ht="15.75" thickTop="1" x14ac:dyDescent="0.25">
      <c r="B12" s="94"/>
      <c r="C12" s="189" t="s">
        <v>158</v>
      </c>
      <c r="D12" s="190"/>
      <c r="E12" s="191" t="s">
        <v>180</v>
      </c>
      <c r="F12" s="192"/>
      <c r="G12" s="97"/>
      <c r="H12" s="98"/>
    </row>
    <row r="13" spans="2:8" ht="81.599999999999994" customHeight="1" x14ac:dyDescent="0.25">
      <c r="B13" s="94"/>
      <c r="C13" s="196" t="s">
        <v>160</v>
      </c>
      <c r="D13" s="197"/>
      <c r="E13" s="198" t="s">
        <v>196</v>
      </c>
      <c r="F13" s="199"/>
      <c r="G13" s="97"/>
      <c r="H13" s="98"/>
    </row>
    <row r="14" spans="2:8" x14ac:dyDescent="0.25">
      <c r="B14" s="94"/>
      <c r="C14" s="202" t="s">
        <v>190</v>
      </c>
      <c r="D14" s="203"/>
      <c r="E14" s="172" t="s">
        <v>197</v>
      </c>
      <c r="F14" s="173"/>
      <c r="G14" s="97"/>
      <c r="H14" s="98"/>
    </row>
    <row r="15" spans="2:8" ht="32.25" customHeight="1" x14ac:dyDescent="0.25">
      <c r="B15" s="94"/>
      <c r="C15" s="200" t="s">
        <v>191</v>
      </c>
      <c r="D15" s="201"/>
      <c r="E15" s="172" t="s">
        <v>203</v>
      </c>
      <c r="F15" s="173"/>
      <c r="G15" s="97"/>
      <c r="H15" s="98"/>
    </row>
    <row r="16" spans="2:8" ht="28.5" customHeight="1" x14ac:dyDescent="0.25">
      <c r="B16" s="94"/>
      <c r="C16" s="166" t="s">
        <v>193</v>
      </c>
      <c r="D16" s="167"/>
      <c r="E16" s="162" t="s">
        <v>194</v>
      </c>
      <c r="F16" s="163"/>
      <c r="G16" s="97"/>
      <c r="H16" s="98"/>
    </row>
    <row r="17" spans="2:8" ht="32.25" customHeight="1" x14ac:dyDescent="0.25">
      <c r="B17" s="94"/>
      <c r="C17" s="145" t="s">
        <v>199</v>
      </c>
      <c r="D17" s="146"/>
      <c r="E17" s="172" t="s">
        <v>200</v>
      </c>
      <c r="F17" s="173"/>
      <c r="G17" s="97"/>
      <c r="H17" s="98"/>
    </row>
    <row r="18" spans="2:8" ht="72.75" customHeight="1" x14ac:dyDescent="0.25">
      <c r="B18" s="94"/>
      <c r="C18" s="166" t="s">
        <v>1</v>
      </c>
      <c r="D18" s="167"/>
      <c r="E18" s="162" t="s">
        <v>188</v>
      </c>
      <c r="F18" s="163"/>
      <c r="G18" s="97"/>
      <c r="H18" s="98"/>
    </row>
    <row r="19" spans="2:8" ht="64.5" customHeight="1" x14ac:dyDescent="0.25">
      <c r="B19" s="94"/>
      <c r="C19" s="166" t="s">
        <v>46</v>
      </c>
      <c r="D19" s="167"/>
      <c r="E19" s="162" t="s">
        <v>192</v>
      </c>
      <c r="F19" s="163"/>
      <c r="G19" s="147"/>
      <c r="H19" s="98"/>
    </row>
    <row r="20" spans="2:8" ht="62.25" customHeight="1" x14ac:dyDescent="0.25">
      <c r="B20" s="94"/>
      <c r="C20" s="166" t="s">
        <v>201</v>
      </c>
      <c r="D20" s="167"/>
      <c r="E20" s="162" t="s">
        <v>195</v>
      </c>
      <c r="F20" s="163"/>
      <c r="G20" s="147"/>
      <c r="H20" s="98"/>
    </row>
    <row r="21" spans="2:8" ht="71.25" customHeight="1" x14ac:dyDescent="0.25">
      <c r="B21" s="94"/>
      <c r="C21" s="166" t="s">
        <v>161</v>
      </c>
      <c r="D21" s="167"/>
      <c r="E21" s="162" t="s">
        <v>204</v>
      </c>
      <c r="F21" s="163"/>
      <c r="G21" s="147"/>
      <c r="H21" s="98"/>
    </row>
    <row r="22" spans="2:8" ht="55.5" customHeight="1" x14ac:dyDescent="0.25">
      <c r="B22" s="94"/>
      <c r="C22" s="164" t="s">
        <v>162</v>
      </c>
      <c r="D22" s="165"/>
      <c r="E22" s="162" t="s">
        <v>205</v>
      </c>
      <c r="F22" s="163"/>
      <c r="G22" s="148"/>
      <c r="H22" s="98"/>
    </row>
    <row r="23" spans="2:8" ht="42" customHeight="1" x14ac:dyDescent="0.25">
      <c r="B23" s="94"/>
      <c r="C23" s="164" t="s">
        <v>44</v>
      </c>
      <c r="D23" s="165"/>
      <c r="E23" s="162" t="s">
        <v>206</v>
      </c>
      <c r="F23" s="163"/>
      <c r="G23" s="97"/>
      <c r="H23" s="98"/>
    </row>
    <row r="24" spans="2:8" ht="59.25" customHeight="1" x14ac:dyDescent="0.25">
      <c r="B24" s="94"/>
      <c r="C24" s="164" t="s">
        <v>156</v>
      </c>
      <c r="D24" s="165"/>
      <c r="E24" s="162" t="s">
        <v>189</v>
      </c>
      <c r="F24" s="163"/>
      <c r="G24" s="97"/>
      <c r="H24" s="98"/>
    </row>
    <row r="25" spans="2:8" ht="23.25" customHeight="1" x14ac:dyDescent="0.25">
      <c r="B25" s="94"/>
      <c r="C25" s="164" t="s">
        <v>11</v>
      </c>
      <c r="D25" s="165"/>
      <c r="E25" s="162" t="s">
        <v>207</v>
      </c>
      <c r="F25" s="163"/>
      <c r="G25" s="97"/>
      <c r="H25" s="98"/>
    </row>
    <row r="26" spans="2:8" ht="30.75" customHeight="1" x14ac:dyDescent="0.25">
      <c r="B26" s="94"/>
      <c r="C26" s="164" t="s">
        <v>165</v>
      </c>
      <c r="D26" s="165"/>
      <c r="E26" s="162" t="s">
        <v>163</v>
      </c>
      <c r="F26" s="163"/>
      <c r="G26" s="97"/>
      <c r="H26" s="98"/>
    </row>
    <row r="27" spans="2:8" ht="35.25" customHeight="1" x14ac:dyDescent="0.25">
      <c r="B27" s="94"/>
      <c r="C27" s="164" t="s">
        <v>166</v>
      </c>
      <c r="D27" s="165"/>
      <c r="E27" s="162" t="s">
        <v>164</v>
      </c>
      <c r="F27" s="163"/>
      <c r="G27" s="97"/>
      <c r="H27" s="98"/>
    </row>
    <row r="28" spans="2:8" ht="33" customHeight="1" x14ac:dyDescent="0.25">
      <c r="B28" s="94"/>
      <c r="C28" s="164" t="s">
        <v>166</v>
      </c>
      <c r="D28" s="165"/>
      <c r="E28" s="162" t="s">
        <v>164</v>
      </c>
      <c r="F28" s="163"/>
      <c r="G28" s="97"/>
      <c r="H28" s="98"/>
    </row>
    <row r="29" spans="2:8" ht="30" customHeight="1" x14ac:dyDescent="0.25">
      <c r="B29" s="94"/>
      <c r="C29" s="164" t="s">
        <v>167</v>
      </c>
      <c r="D29" s="165"/>
      <c r="E29" s="162" t="s">
        <v>208</v>
      </c>
      <c r="F29" s="163"/>
      <c r="G29" s="97"/>
      <c r="H29" s="98"/>
    </row>
    <row r="30" spans="2:8" ht="35.25" customHeight="1" x14ac:dyDescent="0.25">
      <c r="B30" s="94"/>
      <c r="C30" s="164" t="s">
        <v>168</v>
      </c>
      <c r="D30" s="165"/>
      <c r="E30" s="162" t="s">
        <v>169</v>
      </c>
      <c r="F30" s="163"/>
      <c r="G30" s="97"/>
      <c r="H30" s="98"/>
    </row>
    <row r="31" spans="2:8" ht="31.5" customHeight="1" x14ac:dyDescent="0.25">
      <c r="B31" s="94"/>
      <c r="C31" s="164" t="s">
        <v>170</v>
      </c>
      <c r="D31" s="165"/>
      <c r="E31" s="162" t="s">
        <v>171</v>
      </c>
      <c r="F31" s="163"/>
      <c r="G31" s="97"/>
      <c r="H31" s="98"/>
    </row>
    <row r="32" spans="2:8" ht="35.25" customHeight="1" x14ac:dyDescent="0.25">
      <c r="B32" s="94"/>
      <c r="C32" s="164" t="s">
        <v>172</v>
      </c>
      <c r="D32" s="165"/>
      <c r="E32" s="162" t="s">
        <v>173</v>
      </c>
      <c r="F32" s="163"/>
      <c r="G32" s="97"/>
      <c r="H32" s="98"/>
    </row>
    <row r="33" spans="2:8" ht="59.25" customHeight="1" x14ac:dyDescent="0.25">
      <c r="B33" s="94"/>
      <c r="C33" s="164" t="s">
        <v>174</v>
      </c>
      <c r="D33" s="165"/>
      <c r="E33" s="162" t="s">
        <v>209</v>
      </c>
      <c r="F33" s="163"/>
      <c r="G33" s="97"/>
      <c r="H33" s="98"/>
    </row>
    <row r="34" spans="2:8" ht="41.45" customHeight="1" x14ac:dyDescent="0.25">
      <c r="B34" s="94"/>
      <c r="C34" s="164" t="s">
        <v>28</v>
      </c>
      <c r="D34" s="165"/>
      <c r="E34" s="162" t="s">
        <v>175</v>
      </c>
      <c r="F34" s="163"/>
      <c r="G34" s="97"/>
      <c r="H34" s="98"/>
    </row>
    <row r="35" spans="2:8" ht="96.6" customHeight="1" x14ac:dyDescent="0.25">
      <c r="B35" s="94"/>
      <c r="C35" s="164" t="s">
        <v>177</v>
      </c>
      <c r="D35" s="165"/>
      <c r="E35" s="162" t="s">
        <v>176</v>
      </c>
      <c r="F35" s="163"/>
      <c r="G35" s="97"/>
      <c r="H35" s="98"/>
    </row>
    <row r="36" spans="2:8" ht="52.15" customHeight="1" x14ac:dyDescent="0.25">
      <c r="B36" s="94"/>
      <c r="C36" s="164" t="s">
        <v>38</v>
      </c>
      <c r="D36" s="165"/>
      <c r="E36" s="162" t="s">
        <v>178</v>
      </c>
      <c r="F36" s="163"/>
      <c r="G36" s="97"/>
      <c r="H36" s="98"/>
    </row>
    <row r="37" spans="2:8" ht="12" customHeight="1" thickBot="1" x14ac:dyDescent="0.3">
      <c r="B37" s="94"/>
      <c r="C37" s="168"/>
      <c r="D37" s="169"/>
      <c r="E37" s="170"/>
      <c r="F37" s="171"/>
      <c r="G37" s="97"/>
      <c r="H37" s="98"/>
    </row>
    <row r="38" spans="2:8" ht="15.75" thickTop="1" x14ac:dyDescent="0.25">
      <c r="B38" s="94"/>
      <c r="C38" s="95"/>
      <c r="D38" s="95"/>
      <c r="E38" s="96"/>
      <c r="F38" s="96"/>
      <c r="G38" s="97"/>
      <c r="H38" s="98"/>
    </row>
    <row r="39" spans="2:8" ht="21" customHeight="1" x14ac:dyDescent="0.25">
      <c r="B39" s="159" t="s">
        <v>181</v>
      </c>
      <c r="C39" s="160"/>
      <c r="D39" s="160"/>
      <c r="E39" s="160"/>
      <c r="F39" s="160"/>
      <c r="G39" s="160"/>
      <c r="H39" s="161"/>
    </row>
    <row r="40" spans="2:8" ht="20.25" customHeight="1" x14ac:dyDescent="0.25">
      <c r="B40" s="159" t="s">
        <v>182</v>
      </c>
      <c r="C40" s="160"/>
      <c r="D40" s="160"/>
      <c r="E40" s="160"/>
      <c r="F40" s="160"/>
      <c r="G40" s="160"/>
      <c r="H40" s="161"/>
    </row>
    <row r="41" spans="2:8" ht="20.25" customHeight="1" x14ac:dyDescent="0.25">
      <c r="B41" s="159" t="s">
        <v>183</v>
      </c>
      <c r="C41" s="160"/>
      <c r="D41" s="160"/>
      <c r="E41" s="160"/>
      <c r="F41" s="160"/>
      <c r="G41" s="160"/>
      <c r="H41" s="161"/>
    </row>
    <row r="42" spans="2:8" ht="20.25" customHeight="1" x14ac:dyDescent="0.25">
      <c r="B42" s="159" t="s">
        <v>184</v>
      </c>
      <c r="C42" s="160"/>
      <c r="D42" s="160"/>
      <c r="E42" s="160"/>
      <c r="F42" s="160"/>
      <c r="G42" s="160"/>
      <c r="H42" s="161"/>
    </row>
    <row r="43" spans="2:8" x14ac:dyDescent="0.25">
      <c r="B43" s="159" t="s">
        <v>185</v>
      </c>
      <c r="C43" s="160"/>
      <c r="D43" s="160"/>
      <c r="E43" s="160"/>
      <c r="F43" s="160"/>
      <c r="G43" s="160"/>
      <c r="H43" s="161"/>
    </row>
    <row r="44" spans="2:8" ht="15.75" thickBot="1" x14ac:dyDescent="0.3">
      <c r="B44" s="99"/>
      <c r="C44" s="100"/>
      <c r="D44" s="100"/>
      <c r="E44" s="100"/>
      <c r="F44" s="100"/>
      <c r="G44" s="100"/>
      <c r="H44" s="101"/>
    </row>
  </sheetData>
  <mergeCells count="61">
    <mergeCell ref="E17:F17"/>
    <mergeCell ref="C18:D18"/>
    <mergeCell ref="E18:F18"/>
    <mergeCell ref="B2:H2"/>
    <mergeCell ref="B4:H5"/>
    <mergeCell ref="B6:H6"/>
    <mergeCell ref="B9:H10"/>
    <mergeCell ref="C12:D12"/>
    <mergeCell ref="E12:F12"/>
    <mergeCell ref="B7:H7"/>
    <mergeCell ref="C13:D13"/>
    <mergeCell ref="E13:F13"/>
    <mergeCell ref="C15:D15"/>
    <mergeCell ref="E15:F15"/>
    <mergeCell ref="C14:D14"/>
    <mergeCell ref="E14:F14"/>
    <mergeCell ref="C23:D23"/>
    <mergeCell ref="C19:D19"/>
    <mergeCell ref="C21:D21"/>
    <mergeCell ref="C22:D22"/>
    <mergeCell ref="E19:F19"/>
    <mergeCell ref="E21:F21"/>
    <mergeCell ref="E22:F22"/>
    <mergeCell ref="E23:F23"/>
    <mergeCell ref="C20:D20"/>
    <mergeCell ref="E20:F20"/>
    <mergeCell ref="E25:F25"/>
    <mergeCell ref="C25:D25"/>
    <mergeCell ref="C26:D26"/>
    <mergeCell ref="E26:F26"/>
    <mergeCell ref="C28:D28"/>
    <mergeCell ref="E28:F28"/>
    <mergeCell ref="B39:H39"/>
    <mergeCell ref="B40:H40"/>
    <mergeCell ref="B41:H41"/>
    <mergeCell ref="E36:F36"/>
    <mergeCell ref="C34:D34"/>
    <mergeCell ref="E34:F34"/>
    <mergeCell ref="E32:F32"/>
    <mergeCell ref="E35:F35"/>
    <mergeCell ref="C36:D36"/>
    <mergeCell ref="C37:D37"/>
    <mergeCell ref="E37:F37"/>
    <mergeCell ref="C33:D33"/>
    <mergeCell ref="E33:F33"/>
    <mergeCell ref="B43:H43"/>
    <mergeCell ref="E30:F30"/>
    <mergeCell ref="C30:D30"/>
    <mergeCell ref="C16:D16"/>
    <mergeCell ref="E16:F16"/>
    <mergeCell ref="E24:F24"/>
    <mergeCell ref="C24:D24"/>
    <mergeCell ref="C27:D27"/>
    <mergeCell ref="E27:F27"/>
    <mergeCell ref="C29:D29"/>
    <mergeCell ref="E29:F29"/>
    <mergeCell ref="C35:D35"/>
    <mergeCell ref="B42:H42"/>
    <mergeCell ref="C31:D31"/>
    <mergeCell ref="E31:F31"/>
    <mergeCell ref="C32:D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R131"/>
  <sheetViews>
    <sheetView tabSelected="1" topLeftCell="Z1" zoomScale="70" zoomScaleNormal="70" workbookViewId="0">
      <selection activeCell="AH29" sqref="AH29"/>
    </sheetView>
  </sheetViews>
  <sheetFormatPr baseColWidth="10" defaultColWidth="11.42578125" defaultRowHeight="16.5" x14ac:dyDescent="0.3"/>
  <cols>
    <col min="1" max="1" width="4" style="128" bestFit="1" customWidth="1"/>
    <col min="2" max="2" width="24.28515625" style="128" customWidth="1"/>
    <col min="3" max="3" width="61.28515625" style="128" customWidth="1"/>
    <col min="4" max="4" width="47" style="128" customWidth="1"/>
    <col min="5" max="5" width="53.7109375" style="110" customWidth="1"/>
    <col min="6" max="6" width="47.7109375" style="110" customWidth="1"/>
    <col min="7" max="8" width="19" style="129" customWidth="1"/>
    <col min="9" max="9" width="17.85546875" style="110" customWidth="1"/>
    <col min="10" max="10" width="16.5703125" style="110" customWidth="1"/>
    <col min="11" max="11" width="6.28515625" style="110" bestFit="1" customWidth="1"/>
    <col min="12" max="12" width="27.28515625" style="110" bestFit="1" customWidth="1"/>
    <col min="13" max="13" width="16.7109375" style="110" customWidth="1"/>
    <col min="14" max="14" width="17.5703125" style="110" customWidth="1"/>
    <col min="15" max="15" width="6.28515625" style="110" bestFit="1" customWidth="1"/>
    <col min="16" max="16" width="16" style="110" customWidth="1"/>
    <col min="17" max="17" width="5.85546875" style="110" customWidth="1"/>
    <col min="18" max="18" width="31" style="110" customWidth="1"/>
    <col min="19" max="19" width="15.140625" style="110" bestFit="1" customWidth="1"/>
    <col min="20" max="20" width="6.85546875" style="110" customWidth="1"/>
    <col min="21" max="21" width="5" style="110" customWidth="1"/>
    <col min="22" max="22" width="5.5703125" style="110" customWidth="1"/>
    <col min="23" max="23" width="7.140625" style="110" customWidth="1"/>
    <col min="24" max="24" width="6.7109375" style="110" customWidth="1"/>
    <col min="25" max="25" width="7.5703125" style="110" customWidth="1"/>
    <col min="26" max="26" width="8" style="110" customWidth="1"/>
    <col min="27" max="27" width="8.7109375" style="110" customWidth="1"/>
    <col min="28" max="28" width="10.42578125" style="110" customWidth="1"/>
    <col min="29" max="29" width="9.28515625" style="110" customWidth="1"/>
    <col min="30" max="30" width="9.140625" style="110" customWidth="1"/>
    <col min="31" max="31" width="8.42578125" style="110" customWidth="1"/>
    <col min="32" max="32" width="7.28515625" style="110" customWidth="1"/>
    <col min="33" max="33" width="48" style="110" customWidth="1"/>
    <col min="34" max="34" width="18.85546875" style="110" customWidth="1"/>
    <col min="35" max="35" width="23.5703125" style="110" customWidth="1"/>
    <col min="36" max="36" width="20.5703125" style="110" customWidth="1"/>
    <col min="37" max="37" width="59.42578125" style="110" customWidth="1"/>
    <col min="38" max="38" width="21" style="110" customWidth="1"/>
    <col min="39" max="16384" width="11.42578125" style="110"/>
  </cols>
  <sheetData>
    <row r="1" spans="1:70" ht="35.25" customHeight="1" x14ac:dyDescent="0.3">
      <c r="A1" s="225" t="s">
        <v>137</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7"/>
      <c r="AM1" s="154"/>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row>
    <row r="2" spans="1:70" ht="24" customHeight="1" x14ac:dyDescent="0.3">
      <c r="A2" s="228" t="s">
        <v>213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30"/>
      <c r="AM2" s="154"/>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row>
    <row r="3" spans="1:70" ht="51" customHeight="1" x14ac:dyDescent="0.3">
      <c r="A3" s="228" t="s">
        <v>214</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30"/>
      <c r="AM3" s="154"/>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row>
    <row r="4" spans="1:70" ht="63.75" customHeight="1" x14ac:dyDescent="0.3">
      <c r="A4" s="228" t="s">
        <v>215</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30"/>
      <c r="AM4" s="154"/>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1:70" x14ac:dyDescent="0.3">
      <c r="A5" s="151"/>
      <c r="B5" s="151"/>
      <c r="C5" s="151"/>
      <c r="D5" s="151"/>
      <c r="E5" s="152"/>
      <c r="F5" s="152"/>
      <c r="G5" s="153"/>
      <c r="H5" s="153"/>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row>
    <row r="6" spans="1:70" ht="31.5" customHeight="1" x14ac:dyDescent="0.3">
      <c r="A6" s="215" t="s">
        <v>133</v>
      </c>
      <c r="B6" s="215"/>
      <c r="C6" s="215"/>
      <c r="D6" s="215"/>
      <c r="E6" s="215"/>
      <c r="F6" s="215"/>
      <c r="G6" s="215"/>
      <c r="H6" s="215"/>
      <c r="I6" s="215"/>
      <c r="J6" s="215" t="s">
        <v>134</v>
      </c>
      <c r="K6" s="215"/>
      <c r="L6" s="215"/>
      <c r="M6" s="215"/>
      <c r="N6" s="215"/>
      <c r="O6" s="215"/>
      <c r="P6" s="215"/>
      <c r="Q6" s="215" t="s">
        <v>135</v>
      </c>
      <c r="R6" s="215"/>
      <c r="S6" s="215"/>
      <c r="T6" s="215"/>
      <c r="U6" s="215"/>
      <c r="V6" s="215"/>
      <c r="W6" s="215"/>
      <c r="X6" s="215"/>
      <c r="Y6" s="215"/>
      <c r="Z6" s="215" t="s">
        <v>136</v>
      </c>
      <c r="AA6" s="215"/>
      <c r="AB6" s="215"/>
      <c r="AC6" s="215"/>
      <c r="AD6" s="215"/>
      <c r="AE6" s="215"/>
      <c r="AF6" s="215"/>
      <c r="AG6" s="215" t="s">
        <v>33</v>
      </c>
      <c r="AH6" s="215"/>
      <c r="AI6" s="215"/>
      <c r="AJ6" s="215"/>
      <c r="AK6" s="215"/>
      <c r="AL6" s="215"/>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row>
    <row r="7" spans="1:70" ht="16.5" customHeight="1" x14ac:dyDescent="0.3">
      <c r="A7" s="223" t="s">
        <v>0</v>
      </c>
      <c r="B7" s="143"/>
      <c r="C7" s="143"/>
      <c r="D7" s="222" t="s">
        <v>193</v>
      </c>
      <c r="E7" s="222" t="s">
        <v>199</v>
      </c>
      <c r="F7" s="142"/>
      <c r="G7" s="222" t="s">
        <v>46</v>
      </c>
      <c r="H7" s="231" t="s">
        <v>201</v>
      </c>
      <c r="I7" s="222" t="s">
        <v>129</v>
      </c>
      <c r="J7" s="222" t="s">
        <v>32</v>
      </c>
      <c r="K7" s="215" t="s">
        <v>4</v>
      </c>
      <c r="L7" s="222" t="s">
        <v>83</v>
      </c>
      <c r="M7" s="222" t="s">
        <v>88</v>
      </c>
      <c r="N7" s="222" t="s">
        <v>41</v>
      </c>
      <c r="O7" s="215" t="s">
        <v>4</v>
      </c>
      <c r="P7" s="222" t="s">
        <v>44</v>
      </c>
      <c r="Q7" s="224" t="s">
        <v>10</v>
      </c>
      <c r="R7" s="222" t="s">
        <v>156</v>
      </c>
      <c r="S7" s="222" t="s">
        <v>11</v>
      </c>
      <c r="T7" s="222" t="s">
        <v>7</v>
      </c>
      <c r="U7" s="222"/>
      <c r="V7" s="222"/>
      <c r="W7" s="222"/>
      <c r="X7" s="222"/>
      <c r="Y7" s="222"/>
      <c r="Z7" s="224" t="s">
        <v>132</v>
      </c>
      <c r="AA7" s="224" t="s">
        <v>42</v>
      </c>
      <c r="AB7" s="224" t="s">
        <v>4</v>
      </c>
      <c r="AC7" s="224" t="s">
        <v>43</v>
      </c>
      <c r="AD7" s="224" t="s">
        <v>4</v>
      </c>
      <c r="AE7" s="224" t="s">
        <v>45</v>
      </c>
      <c r="AF7" s="224" t="s">
        <v>28</v>
      </c>
      <c r="AG7" s="222" t="s">
        <v>33</v>
      </c>
      <c r="AH7" s="222" t="s">
        <v>34</v>
      </c>
      <c r="AI7" s="222" t="s">
        <v>35</v>
      </c>
      <c r="AJ7" s="222" t="s">
        <v>37</v>
      </c>
      <c r="AK7" s="222" t="s">
        <v>36</v>
      </c>
      <c r="AL7" s="222" t="s">
        <v>38</v>
      </c>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row>
    <row r="8" spans="1:70" s="112" customFormat="1" ht="120" customHeight="1" x14ac:dyDescent="0.25">
      <c r="A8" s="223"/>
      <c r="B8" s="144" t="s">
        <v>190</v>
      </c>
      <c r="C8" s="144" t="s">
        <v>202</v>
      </c>
      <c r="D8" s="222"/>
      <c r="E8" s="222"/>
      <c r="F8" s="142" t="s">
        <v>198</v>
      </c>
      <c r="G8" s="222"/>
      <c r="H8" s="232"/>
      <c r="I8" s="222"/>
      <c r="J8" s="222"/>
      <c r="K8" s="215"/>
      <c r="L8" s="222"/>
      <c r="M8" s="222"/>
      <c r="N8" s="215"/>
      <c r="O8" s="215"/>
      <c r="P8" s="222"/>
      <c r="Q8" s="224"/>
      <c r="R8" s="222"/>
      <c r="S8" s="222"/>
      <c r="T8" s="130" t="s">
        <v>12</v>
      </c>
      <c r="U8" s="130" t="s">
        <v>16</v>
      </c>
      <c r="V8" s="130" t="s">
        <v>27</v>
      </c>
      <c r="W8" s="130" t="s">
        <v>17</v>
      </c>
      <c r="X8" s="130" t="s">
        <v>20</v>
      </c>
      <c r="Y8" s="130" t="s">
        <v>23</v>
      </c>
      <c r="Z8" s="224"/>
      <c r="AA8" s="224"/>
      <c r="AB8" s="224"/>
      <c r="AC8" s="224"/>
      <c r="AD8" s="224"/>
      <c r="AE8" s="224"/>
      <c r="AF8" s="224"/>
      <c r="AG8" s="222"/>
      <c r="AH8" s="222"/>
      <c r="AI8" s="222"/>
      <c r="AJ8" s="222"/>
      <c r="AK8" s="222"/>
      <c r="AL8" s="222"/>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row>
    <row r="9" spans="1:70" s="125" customFormat="1" ht="75.75" x14ac:dyDescent="0.25">
      <c r="A9" s="212">
        <v>1</v>
      </c>
      <c r="B9" s="219" t="s">
        <v>249</v>
      </c>
      <c r="C9" s="216" t="s">
        <v>216</v>
      </c>
      <c r="D9" s="213" t="s">
        <v>219</v>
      </c>
      <c r="E9" s="208" t="s">
        <v>217</v>
      </c>
      <c r="F9" s="208" t="s">
        <v>245</v>
      </c>
      <c r="G9" s="213" t="s">
        <v>218</v>
      </c>
      <c r="H9" s="209" t="s">
        <v>210</v>
      </c>
      <c r="I9" s="214">
        <v>100</v>
      </c>
      <c r="J9" s="204" t="str">
        <f>IF(I9&lt;=0,"",IF(I9&lt;=2,"Muy Baja",IF(I9&lt;=24,"Baja",IF(I9&lt;=500,"Media",IF(I9&lt;=5000,"Alta","Muy Alta")))))</f>
        <v>Media</v>
      </c>
      <c r="K9" s="205">
        <f>IF(J9="","",IF(J9="Muy Baja",0.2,IF(J9="Baja",0.4,IF(J9="Media",0.6,IF(J9="Alta",0.8,IF(J9="Muy Alta",1,))))))</f>
        <v>0.6</v>
      </c>
      <c r="L9" s="207" t="s">
        <v>142</v>
      </c>
      <c r="M9" s="205" t="str">
        <f ca="1">IF(NOT(ISERROR(MATCH(L9,'Tabla Impacto'!$B$221:$B$223,0))),'Tabla Impacto'!$F$223&amp;"Por favor no seleccionar los criterios de impacto(Afectación Económica o presupuestal y Pérdida Reputacional)",L9)</f>
        <v xml:space="preserve">     Entre 50 y 100 SMLMV </v>
      </c>
      <c r="N9" s="204" t="str">
        <f ca="1">IF(OR(M9='Tabla Impacto'!$C$11,M9='Tabla Impacto'!$D$11),"Leve",IF(OR(M9='Tabla Impacto'!$C$12,M9='Tabla Impacto'!$D$12),"Menor",IF(OR(M9='Tabla Impacto'!$C$13,M9='Tabla Impacto'!$D$13),"Moderado",IF(OR(M9='Tabla Impacto'!$C$14,M9='Tabla Impacto'!$D$14),"Mayor",IF(OR(M9='Tabla Impacto'!$C$15,M9='Tabla Impacto'!$D$15),"Catastrófico","")))))</f>
        <v>Moderado</v>
      </c>
      <c r="O9" s="205">
        <f ca="1">IF(N9="","",IF(N9="Leve",0.2,IF(N9="Menor",0.4,IF(N9="Moderado",0.6,IF(N9="Mayor",0.8,IF(N9="Catastrófico",1,))))))</f>
        <v>0.6</v>
      </c>
      <c r="P9" s="206" t="s">
        <v>77</v>
      </c>
      <c r="Q9" s="113">
        <v>1</v>
      </c>
      <c r="R9" s="114" t="s">
        <v>220</v>
      </c>
      <c r="S9" s="115" t="str">
        <f>IF(OR(T9="Preventivo",T9="Detectivo"),"Probabilidad",IF(T9="Correctivo","Impacto",""))</f>
        <v>Probabilidad</v>
      </c>
      <c r="T9" s="116" t="s">
        <v>14</v>
      </c>
      <c r="U9" s="116" t="s">
        <v>8</v>
      </c>
      <c r="V9" s="117" t="str">
        <f>IF(AND(T9="Preventivo",U9="Automático"),"50%",IF(AND(T9="Preventivo",U9="Manual"),"40%",IF(AND(T9="Detectivo",U9="Automático"),"40%",IF(AND(T9="Detectivo",U9="Manual"),"30%",IF(AND(T9="Correctivo",U9="Automático"),"35%",IF(AND(T9="Correctivo",U9="Manual"),"25%",""))))))</f>
        <v>30%</v>
      </c>
      <c r="W9" s="116" t="s">
        <v>19</v>
      </c>
      <c r="X9" s="116" t="s">
        <v>21</v>
      </c>
      <c r="Y9" s="116" t="s">
        <v>115</v>
      </c>
      <c r="Z9" s="118">
        <f>IFERROR(IF(S9="Probabilidad",(K9-(+K9*V9)),IF(S9="Impacto",K9,"")),"")</f>
        <v>0.42</v>
      </c>
      <c r="AA9" s="119" t="str">
        <f>IFERROR(IF(Z9="","",IF(Z9&lt;=0.2,"Muy Baja",IF(Z9&lt;=0.4,"Baja",IF(Z9&lt;=0.6,"Media",IF(Z9&lt;=0.8,"Alta","Muy Alta"))))),"")</f>
        <v>Media</v>
      </c>
      <c r="AB9" s="117">
        <f>+Z9</f>
        <v>0.42</v>
      </c>
      <c r="AC9" s="119" t="str">
        <f ca="1">IFERROR(IF(AD9="","",IF(AD9&lt;=0.2,"Leve",IF(AD9&lt;=0.4,"Menor",IF(AD9&lt;=0.6,"Moderado",IF(AD9&lt;=0.8,"Mayor","Catastrófico"))))),"")</f>
        <v>Moderado</v>
      </c>
      <c r="AD9" s="117">
        <f ca="1">IFERROR(IF(S9="Impacto",(O9-(+O9*V9)),IF(S9="Probabilidad",O9,"")),"")</f>
        <v>0.6</v>
      </c>
      <c r="AE9" s="120" t="str">
        <f ca="1">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Moderado</v>
      </c>
      <c r="AF9" s="116" t="s">
        <v>130</v>
      </c>
      <c r="AG9" s="150" t="s">
        <v>223</v>
      </c>
      <c r="AH9" s="149" t="s">
        <v>222</v>
      </c>
      <c r="AI9" s="123">
        <v>44423</v>
      </c>
      <c r="AJ9" s="123" t="s">
        <v>211</v>
      </c>
      <c r="AK9" s="121" t="s">
        <v>250</v>
      </c>
      <c r="AL9" s="122" t="s">
        <v>39</v>
      </c>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row>
    <row r="10" spans="1:70" ht="75.75" x14ac:dyDescent="0.3">
      <c r="A10" s="212"/>
      <c r="B10" s="220"/>
      <c r="C10" s="217"/>
      <c r="D10" s="213"/>
      <c r="E10" s="208"/>
      <c r="F10" s="208"/>
      <c r="G10" s="213"/>
      <c r="H10" s="210"/>
      <c r="I10" s="214"/>
      <c r="J10" s="204"/>
      <c r="K10" s="205"/>
      <c r="L10" s="207"/>
      <c r="M10" s="205">
        <f ca="1">IF(NOT(ISERROR(MATCH(L10,_xlfn.ANCHORARRAY(E21),0))),K23&amp;"Por favor no seleccionar los criterios de impacto",L10)</f>
        <v>0</v>
      </c>
      <c r="N10" s="204"/>
      <c r="O10" s="205"/>
      <c r="P10" s="206"/>
      <c r="Q10" s="113">
        <v>2</v>
      </c>
      <c r="R10" s="114" t="s">
        <v>221</v>
      </c>
      <c r="S10" s="115" t="str">
        <f>IF(OR(T10="Preventivo",T10="Detectivo"),"Probabilidad",IF(T10="Correctivo","Impacto",""))</f>
        <v>Probabilidad</v>
      </c>
      <c r="T10" s="116" t="s">
        <v>13</v>
      </c>
      <c r="U10" s="116" t="s">
        <v>9</v>
      </c>
      <c r="V10" s="117" t="str">
        <f>IF(AND(T10="Preventivo",U10="Automático"),"50%",IF(AND(T10="Preventivo",U10="Manual"),"40%",IF(AND(T10="Detectivo",U10="Automático"),"40%",IF(AND(T10="Detectivo",U10="Manual"),"30%",IF(AND(T10="Correctivo",U10="Automático"),"35%",IF(AND(T10="Correctivo",U10="Manual"),"25%",""))))))</f>
        <v>50%</v>
      </c>
      <c r="W10" s="116" t="s">
        <v>18</v>
      </c>
      <c r="X10" s="116" t="s">
        <v>21</v>
      </c>
      <c r="Y10" s="116" t="s">
        <v>115</v>
      </c>
      <c r="Z10" s="118">
        <f>IFERROR(IF(AND(S9="Probabilidad",S10="Probabilidad"),(AB9-(+AB9*V10)),IF(S10="Probabilidad",(K9-(+K9*V10)),IF(S10="Impacto",AB9,""))),"")</f>
        <v>0.21</v>
      </c>
      <c r="AA10" s="119" t="str">
        <f t="shared" ref="AA10:AA68" si="0">IFERROR(IF(Z10="","",IF(Z10&lt;=0.2,"Muy Baja",IF(Z10&lt;=0.4,"Baja",IF(Z10&lt;=0.6,"Media",IF(Z10&lt;=0.8,"Alta","Muy Alta"))))),"")</f>
        <v>Baja</v>
      </c>
      <c r="AB10" s="117">
        <f t="shared" ref="AB10:AB14" si="1">+Z10</f>
        <v>0.21</v>
      </c>
      <c r="AC10" s="119" t="str">
        <f t="shared" ref="AC10:AC68" ca="1" si="2">IFERROR(IF(AD10="","",IF(AD10&lt;=0.2,"Leve",IF(AD10&lt;=0.4,"Menor",IF(AD10&lt;=0.6,"Moderado",IF(AD10&lt;=0.8,"Mayor","Catastrófico"))))),"")</f>
        <v>Moderado</v>
      </c>
      <c r="AD10" s="117">
        <f ca="1">IFERROR(IF(AND(S9="Impacto",S10="Impacto"),(AD9-(+AD9*V10)),IF(S10="Impacto",($O$9-(+$O$9*V10)),IF(S10="Probabilidad",AD9,""))),"")</f>
        <v>0.6</v>
      </c>
      <c r="AE10" s="120" t="str">
        <f t="shared" ref="AE10:AE14" ca="1" si="3">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Moderado</v>
      </c>
      <c r="AF10" s="116" t="s">
        <v>130</v>
      </c>
      <c r="AG10" s="150" t="s">
        <v>224</v>
      </c>
      <c r="AH10" s="155" t="s">
        <v>222</v>
      </c>
      <c r="AI10" s="123">
        <v>44423</v>
      </c>
      <c r="AJ10" s="123">
        <v>44681</v>
      </c>
      <c r="AK10" s="121" t="s">
        <v>251</v>
      </c>
      <c r="AL10" s="122" t="s">
        <v>40</v>
      </c>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row>
    <row r="11" spans="1:70" ht="75.75" x14ac:dyDescent="0.3">
      <c r="A11" s="212"/>
      <c r="B11" s="220"/>
      <c r="C11" s="217"/>
      <c r="D11" s="213"/>
      <c r="E11" s="208"/>
      <c r="F11" s="208"/>
      <c r="G11" s="213"/>
      <c r="H11" s="210"/>
      <c r="I11" s="214"/>
      <c r="J11" s="204"/>
      <c r="K11" s="205"/>
      <c r="L11" s="207"/>
      <c r="M11" s="205">
        <f ca="1">IF(NOT(ISERROR(MATCH(L11,_xlfn.ANCHORARRAY(E22),0))),K24&amp;"Por favor no seleccionar los criterios de impacto",L11)</f>
        <v>0</v>
      </c>
      <c r="N11" s="204"/>
      <c r="O11" s="205"/>
      <c r="P11" s="206"/>
      <c r="Q11" s="113">
        <v>3</v>
      </c>
      <c r="R11" s="126"/>
      <c r="S11" s="115"/>
      <c r="T11" s="116"/>
      <c r="U11" s="116"/>
      <c r="V11" s="117"/>
      <c r="W11" s="116"/>
      <c r="X11" s="116"/>
      <c r="Y11" s="116"/>
      <c r="Z11" s="118" t="str">
        <f>IFERROR(IF(AND(S10="Probabilidad",S11="Probabilidad"),(AB10-(+AB10*V11)),IF(AND(S10="Impacto",S11="Probabilidad"),(AB9-(+AB9*V11)),IF(S11="Impacto",AB10,""))),"")</f>
        <v/>
      </c>
      <c r="AA11" s="119" t="str">
        <f t="shared" si="0"/>
        <v/>
      </c>
      <c r="AB11" s="117" t="str">
        <f t="shared" si="1"/>
        <v/>
      </c>
      <c r="AC11" s="119" t="str">
        <f t="shared" si="2"/>
        <v/>
      </c>
      <c r="AD11" s="117" t="str">
        <f>IFERROR(IF(AND(S10="Impacto",S11="Impacto"),(AD10-(+AD10*V11)),IF(AND(S10="Probabilidad",S11="Impacto"),(AD9-(+AD9*V11)),IF(S11="Probabilidad",AD10,""))),"")</f>
        <v/>
      </c>
      <c r="AE11" s="120" t="str">
        <f t="shared" si="3"/>
        <v/>
      </c>
      <c r="AF11" s="116" t="s">
        <v>130</v>
      </c>
      <c r="AG11" s="121"/>
      <c r="AH11" s="149"/>
      <c r="AI11" s="123"/>
      <c r="AJ11" s="123"/>
      <c r="AK11" s="121"/>
      <c r="AL11" s="122"/>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row>
    <row r="12" spans="1:70" ht="87.75" x14ac:dyDescent="0.3">
      <c r="A12" s="212"/>
      <c r="B12" s="220"/>
      <c r="C12" s="217"/>
      <c r="D12" s="213"/>
      <c r="E12" s="208"/>
      <c r="F12" s="208"/>
      <c r="G12" s="213"/>
      <c r="H12" s="210"/>
      <c r="I12" s="214"/>
      <c r="J12" s="204"/>
      <c r="K12" s="205"/>
      <c r="L12" s="207"/>
      <c r="M12" s="205">
        <f ca="1">IF(NOT(ISERROR(MATCH(L12,_xlfn.ANCHORARRAY(E23),0))),K25&amp;"Por favor no seleccionar los criterios de impacto",L12)</f>
        <v>0</v>
      </c>
      <c r="N12" s="204"/>
      <c r="O12" s="205"/>
      <c r="P12" s="206"/>
      <c r="Q12" s="113">
        <v>4</v>
      </c>
      <c r="R12" s="114"/>
      <c r="S12" s="115"/>
      <c r="T12" s="116"/>
      <c r="U12" s="116"/>
      <c r="V12" s="117"/>
      <c r="W12" s="116"/>
      <c r="X12" s="116"/>
      <c r="Y12" s="116"/>
      <c r="Z12" s="118" t="str">
        <f t="shared" ref="Z12:Z14" si="4">IFERROR(IF(AND(S11="Probabilidad",S12="Probabilidad"),(AB11-(+AB11*V12)),IF(AND(S11="Impacto",S12="Probabilidad"),(AB10-(+AB10*V12)),IF(S12="Impacto",AB11,""))),"")</f>
        <v/>
      </c>
      <c r="AA12" s="119" t="str">
        <f t="shared" si="0"/>
        <v/>
      </c>
      <c r="AB12" s="117" t="str">
        <f t="shared" si="1"/>
        <v/>
      </c>
      <c r="AC12" s="119" t="str">
        <f t="shared" si="2"/>
        <v/>
      </c>
      <c r="AD12" s="117" t="str">
        <f t="shared" ref="AD12:AD14" si="5">IFERROR(IF(AND(S11="Impacto",S12="Impacto"),(AD11-(+AD11*V12)),IF(AND(S11="Probabilidad",S12="Impacto"),(AD10-(+AD10*V12)),IF(S12="Probabilidad",AD11,""))),"")</f>
        <v/>
      </c>
      <c r="AE12" s="120" t="str">
        <f>IFERROR(IF(OR(AND(AA12="Muy Baja",AC12="Leve"),AND(AA12="Muy Baja",AC12="Menor"),AND(AA12="Baja",AC12="Leve")),"Bajo",IF(OR(AND(AA12="Muy baja",AC12="Moderado"),AND(AA12="Baja",AC12="Menor"),AND(AA12="Baja",AC12="Moderado"),AND(AA12="Media",AC12="Leve"),AND(AA12="Media",AC12="Menor"),AND(AA12="Media",AC12="Moderado"),AND(AA12="Alta",AC12="Leve"),AND(AA12="Alta",AC12="Menor")),"Moderado",IF(OR(AND(AA12="Muy Baja",AC12="Mayor"),AND(AA12="Baja",AC12="Mayor"),AND(AA12="Media",AC12="Mayor"),AND(AA12="Alta",AC12="Moderado"),AND(AA12="Alta",AC12="Mayor"),AND(AA12="Muy Alta",AC12="Leve"),AND(AA12="Muy Alta",AC12="Menor"),AND(AA12="Muy Alta",AC12="Moderado"),AND(AA12="Muy Alta",AC12="Mayor")),"Alto",IF(OR(AND(AA12="Muy Baja",AC12="Catastrófico"),AND(AA12="Baja",AC12="Catastrófico"),AND(AA12="Media",AC12="Catastrófico"),AND(AA12="Alta",AC12="Catastrófico"),AND(AA12="Muy Alta",AC12="Catastrófico")),"Extremo","")))),"")</f>
        <v/>
      </c>
      <c r="AF12" s="116" t="s">
        <v>131</v>
      </c>
      <c r="AG12" s="121"/>
      <c r="AH12" s="122"/>
      <c r="AI12" s="123"/>
      <c r="AJ12" s="123"/>
      <c r="AK12" s="121"/>
      <c r="AL12" s="122"/>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row>
    <row r="13" spans="1:70" x14ac:dyDescent="0.3">
      <c r="A13" s="212"/>
      <c r="B13" s="220"/>
      <c r="C13" s="217"/>
      <c r="D13" s="213"/>
      <c r="E13" s="208"/>
      <c r="F13" s="208"/>
      <c r="G13" s="213"/>
      <c r="H13" s="210"/>
      <c r="I13" s="214"/>
      <c r="J13" s="204"/>
      <c r="K13" s="205"/>
      <c r="L13" s="207"/>
      <c r="M13" s="205">
        <f ca="1">IF(NOT(ISERROR(MATCH(L13,_xlfn.ANCHORARRAY(E24),0))),K26&amp;"Por favor no seleccionar los criterios de impacto",L13)</f>
        <v>0</v>
      </c>
      <c r="N13" s="204"/>
      <c r="O13" s="205"/>
      <c r="P13" s="206"/>
      <c r="Q13" s="113">
        <v>5</v>
      </c>
      <c r="R13" s="114"/>
      <c r="S13" s="115" t="str">
        <f t="shared" ref="S13" si="6">IF(OR(T13="Preventivo",T13="Detectivo"),"Probabilidad",IF(T13="Correctivo","Impacto",""))</f>
        <v/>
      </c>
      <c r="T13" s="116"/>
      <c r="U13" s="116"/>
      <c r="V13" s="117" t="str">
        <f t="shared" ref="V13:V14" si="7">IF(AND(T13="Preventivo",U13="Automático"),"50%",IF(AND(T13="Preventivo",U13="Manual"),"40%",IF(AND(T13="Detectivo",U13="Automático"),"40%",IF(AND(T13="Detectivo",U13="Manual"),"30%",IF(AND(T13="Correctivo",U13="Automático"),"35%",IF(AND(T13="Correctivo",U13="Manual"),"25%",""))))))</f>
        <v/>
      </c>
      <c r="W13" s="116"/>
      <c r="X13" s="116"/>
      <c r="Y13" s="116"/>
      <c r="Z13" s="118" t="str">
        <f t="shared" si="4"/>
        <v/>
      </c>
      <c r="AA13" s="119" t="str">
        <f t="shared" si="0"/>
        <v/>
      </c>
      <c r="AB13" s="117" t="str">
        <f t="shared" si="1"/>
        <v/>
      </c>
      <c r="AC13" s="119" t="str">
        <f t="shared" si="2"/>
        <v/>
      </c>
      <c r="AD13" s="117" t="str">
        <f t="shared" si="5"/>
        <v/>
      </c>
      <c r="AE13" s="120" t="str">
        <f t="shared" si="3"/>
        <v/>
      </c>
      <c r="AF13" s="116"/>
      <c r="AG13" s="121"/>
      <c r="AH13" s="122"/>
      <c r="AI13" s="123"/>
      <c r="AJ13" s="123"/>
      <c r="AK13" s="121"/>
      <c r="AL13" s="122"/>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row>
    <row r="14" spans="1:70" ht="73.5" customHeight="1" x14ac:dyDescent="0.3">
      <c r="A14" s="212"/>
      <c r="B14" s="221"/>
      <c r="C14" s="218"/>
      <c r="D14" s="213"/>
      <c r="E14" s="208"/>
      <c r="F14" s="208"/>
      <c r="G14" s="213"/>
      <c r="H14" s="211"/>
      <c r="I14" s="214"/>
      <c r="J14" s="204"/>
      <c r="K14" s="205"/>
      <c r="L14" s="207"/>
      <c r="M14" s="205">
        <f ca="1">IF(NOT(ISERROR(MATCH(L14,_xlfn.ANCHORARRAY(E25),0))),K27&amp;"Por favor no seleccionar los criterios de impacto",L14)</f>
        <v>0</v>
      </c>
      <c r="N14" s="204"/>
      <c r="O14" s="205"/>
      <c r="P14" s="206"/>
      <c r="Q14" s="113">
        <v>6</v>
      </c>
      <c r="R14" s="114"/>
      <c r="S14" s="115" t="str">
        <f t="shared" ref="S14" si="8">IF(OR(T14="Preventivo",T14="Detectivo"),"Probabilidad",IF(T14="Correctivo","Impacto",""))</f>
        <v/>
      </c>
      <c r="T14" s="116"/>
      <c r="U14" s="116"/>
      <c r="V14" s="117" t="str">
        <f t="shared" si="7"/>
        <v/>
      </c>
      <c r="W14" s="116"/>
      <c r="X14" s="116"/>
      <c r="Y14" s="116"/>
      <c r="Z14" s="118" t="str">
        <f t="shared" si="4"/>
        <v/>
      </c>
      <c r="AA14" s="119" t="str">
        <f t="shared" si="0"/>
        <v/>
      </c>
      <c r="AB14" s="117" t="str">
        <f t="shared" si="1"/>
        <v/>
      </c>
      <c r="AC14" s="119" t="str">
        <f t="shared" si="2"/>
        <v/>
      </c>
      <c r="AD14" s="117" t="str">
        <f t="shared" si="5"/>
        <v/>
      </c>
      <c r="AE14" s="120" t="str">
        <f t="shared" si="3"/>
        <v/>
      </c>
      <c r="AF14" s="116"/>
      <c r="AG14" s="121"/>
      <c r="AH14" s="122"/>
      <c r="AI14" s="123"/>
      <c r="AJ14" s="123"/>
      <c r="AK14" s="121"/>
      <c r="AL14" s="122"/>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row>
    <row r="15" spans="1:70" ht="159.75" customHeight="1" x14ac:dyDescent="0.3">
      <c r="A15" s="212">
        <v>2</v>
      </c>
      <c r="B15" s="219" t="s">
        <v>249</v>
      </c>
      <c r="C15" s="216" t="s">
        <v>216</v>
      </c>
      <c r="D15" s="213" t="s">
        <v>226</v>
      </c>
      <c r="E15" s="208" t="s">
        <v>225</v>
      </c>
      <c r="F15" s="208" t="s">
        <v>244</v>
      </c>
      <c r="G15" s="213" t="s">
        <v>218</v>
      </c>
      <c r="H15" s="209" t="s">
        <v>210</v>
      </c>
      <c r="I15" s="214">
        <v>200</v>
      </c>
      <c r="J15" s="204" t="str">
        <f>IF(I15&lt;=0,"",IF(I15&lt;=2,"Muy Baja",IF(I15&lt;=24,"Baja",IF(I15&lt;=500,"Media",IF(I15&lt;=5000,"Alta","Muy Alta")))))</f>
        <v>Media</v>
      </c>
      <c r="K15" s="205">
        <f>IF(J15="","",IF(J15="Muy Baja",0.2,IF(J15="Baja",0.4,IF(J15="Media",0.6,IF(J15="Alta",0.8,IF(J15="Muy Alta",1,))))))</f>
        <v>0.6</v>
      </c>
      <c r="L15" s="207" t="s">
        <v>144</v>
      </c>
      <c r="M15" s="205" t="str">
        <f ca="1">IF(NOT(ISERROR(MATCH(L15,'Tabla Impacto'!$B$221:$B$223,0))),'Tabla Impacto'!$F$223&amp;"Por favor no seleccionar los criterios de impacto(Afectación Económica o presupuestal y Pérdida Reputacional)",L15)</f>
        <v xml:space="preserve">     Entre 100 y 500 SMLMV </v>
      </c>
      <c r="N15" s="204" t="str">
        <f ca="1">IF(OR(M15='Tabla Impacto'!$C$11,M15='Tabla Impacto'!$D$11),"Leve",IF(OR(M15='Tabla Impacto'!$C$12,M15='Tabla Impacto'!$D$12),"Menor",IF(OR(M15='Tabla Impacto'!$C$13,M15='Tabla Impacto'!$D$13),"Moderado",IF(OR(M15='Tabla Impacto'!$C$14,M15='Tabla Impacto'!$D$14),"Mayor",IF(OR(M15='Tabla Impacto'!$C$15,M15='Tabla Impacto'!$D$15),"Catastrófico","")))))</f>
        <v>Mayor</v>
      </c>
      <c r="O15" s="205">
        <f ca="1">IF(N15="","",IF(N15="Leve",0.2,IF(N15="Menor",0.4,IF(N15="Moderado",0.6,IF(N15="Mayor",0.8,IF(N15="Catastrófico",1,))))))</f>
        <v>0.8</v>
      </c>
      <c r="P15" s="206" t="str">
        <f ca="1">IF(OR(AND(J15="Muy Baja",N15="Leve"),AND(J15="Muy Baja",N15="Menor"),AND(J15="Baja",N15="Leve")),"Bajo",IF(OR(AND(J15="Muy baja",N15="Moderado"),AND(J15="Baja",N15="Menor"),AND(J15="Baja",N15="Moderado"),AND(J15="Media",N15="Leve"),AND(J15="Media",N15="Menor"),AND(J15="Media",N15="Moderado"),AND(J15="Alta",N15="Leve"),AND(J15="Alta",N15="Menor")),"Moderado",IF(OR(AND(J15="Muy Baja",N15="Mayor"),AND(J15="Baja",N15="Mayor"),AND(J15="Media",N15="Mayor"),AND(J15="Alta",N15="Moderado"),AND(J15="Alta",N15="Mayor"),AND(J15="Muy Alta",N15="Leve"),AND(J15="Muy Alta",N15="Menor"),AND(J15="Muy Alta",N15="Moderado"),AND(J15="Muy Alta",N15="Mayor")),"Alto",IF(OR(AND(J15="Muy Baja",N15="Catastrófico"),AND(J15="Baja",N15="Catastrófico"),AND(J15="Media",N15="Catastrófico"),AND(J15="Alta",N15="Catastrófico"),AND(J15="Muy Alta",N15="Catastrófico")),"Extremo",""))))</f>
        <v>Alto</v>
      </c>
      <c r="Q15" s="113">
        <v>1</v>
      </c>
      <c r="R15" s="114" t="s">
        <v>227</v>
      </c>
      <c r="S15" s="115" t="str">
        <f>IF(OR(T15="Preventivo",T15="Detectivo"),"Probabilidad",IF(T15="Correctivo","Impacto",""))</f>
        <v>Probabilidad</v>
      </c>
      <c r="T15" s="116" t="s">
        <v>13</v>
      </c>
      <c r="U15" s="116" t="s">
        <v>9</v>
      </c>
      <c r="V15" s="117" t="str">
        <f>IF(AND(T15="Preventivo",U15="Automático"),"50%",IF(AND(T15="Preventivo",U15="Manual"),"40%",IF(AND(T15="Detectivo",U15="Automático"),"40%",IF(AND(T15="Detectivo",U15="Manual"),"30%",IF(AND(T15="Correctivo",U15="Automático"),"35%",IF(AND(T15="Correctivo",U15="Manual"),"25%",""))))))</f>
        <v>50%</v>
      </c>
      <c r="W15" s="116" t="s">
        <v>18</v>
      </c>
      <c r="X15" s="116" t="s">
        <v>21</v>
      </c>
      <c r="Y15" s="116" t="s">
        <v>115</v>
      </c>
      <c r="Z15" s="118">
        <f>IFERROR(IF(S15="Probabilidad",(K15-(+K15*V15)),IF(S15="Impacto",K15,"")),"")</f>
        <v>0.3</v>
      </c>
      <c r="AA15" s="119" t="str">
        <f>IFERROR(IF(Z15="","",IF(Z15&lt;=0.2,"Muy Baja",IF(Z15&lt;=0.4,"Baja",IF(Z15&lt;=0.6,"Media",IF(Z15&lt;=0.8,"Alta","Muy Alta"))))),"")</f>
        <v>Baja</v>
      </c>
      <c r="AB15" s="117">
        <f>+Z15</f>
        <v>0.3</v>
      </c>
      <c r="AC15" s="119" t="str">
        <f ca="1">IFERROR(IF(AD15="","",IF(AD15&lt;=0.2,"Leve",IF(AD15&lt;=0.4,"Menor",IF(AD15&lt;=0.6,"Moderado",IF(AD15&lt;=0.8,"Mayor","Catastrófico"))))),"")</f>
        <v>Mayor</v>
      </c>
      <c r="AD15" s="117">
        <f ca="1">IFERROR(IF(S15="Impacto",(O15-(+O15*V15)),IF(S15="Probabilidad",O15,"")),"")</f>
        <v>0.8</v>
      </c>
      <c r="AE15" s="120" t="str">
        <f ca="1">IFERROR(IF(OR(AND(AA15="Muy Baja",AC15="Leve"),AND(AA15="Muy Baja",AC15="Menor"),AND(AA15="Baja",AC15="Leve")),"Bajo",IF(OR(AND(AA15="Muy baja",AC15="Moderado"),AND(AA15="Baja",AC15="Menor"),AND(AA15="Baja",AC15="Moderado"),AND(AA15="Media",AC15="Leve"),AND(AA15="Media",AC15="Menor"),AND(AA15="Media",AC15="Moderado"),AND(AA15="Alta",AC15="Leve"),AND(AA15="Alta",AC15="Menor")),"Moderado",IF(OR(AND(AA15="Muy Baja",AC15="Mayor"),AND(AA15="Baja",AC15="Mayor"),AND(AA15="Media",AC15="Mayor"),AND(AA15="Alta",AC15="Moderado"),AND(AA15="Alta",AC15="Mayor"),AND(AA15="Muy Alta",AC15="Leve"),AND(AA15="Muy Alta",AC15="Menor"),AND(AA15="Muy Alta",AC15="Moderado"),AND(AA15="Muy Alta",AC15="Mayor")),"Alto",IF(OR(AND(AA15="Muy Baja",AC15="Catastrófico"),AND(AA15="Baja",AC15="Catastrófico"),AND(AA15="Media",AC15="Catastrófico"),AND(AA15="Alta",AC15="Catastrófico"),AND(AA15="Muy Alta",AC15="Catastrófico")),"Extremo","")))),"")</f>
        <v>Alto</v>
      </c>
      <c r="AF15" s="116" t="s">
        <v>130</v>
      </c>
      <c r="AG15" s="150" t="s">
        <v>252</v>
      </c>
      <c r="AH15" s="155" t="s">
        <v>222</v>
      </c>
      <c r="AI15" s="123">
        <v>44423</v>
      </c>
      <c r="AJ15" s="123">
        <v>44560</v>
      </c>
      <c r="AK15" s="150" t="s">
        <v>254</v>
      </c>
      <c r="AL15" s="122" t="s">
        <v>39</v>
      </c>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row>
    <row r="16" spans="1:70" ht="81" customHeight="1" x14ac:dyDescent="0.3">
      <c r="A16" s="212"/>
      <c r="B16" s="220"/>
      <c r="C16" s="217"/>
      <c r="D16" s="213"/>
      <c r="E16" s="208"/>
      <c r="F16" s="208"/>
      <c r="G16" s="213"/>
      <c r="H16" s="210"/>
      <c r="I16" s="214"/>
      <c r="J16" s="204"/>
      <c r="K16" s="205"/>
      <c r="L16" s="207"/>
      <c r="M16" s="205">
        <f ca="1">IF(NOT(ISERROR(MATCH(L16,_xlfn.ANCHORARRAY(E27),0))),K29&amp;"Por favor no seleccionar los criterios de impacto",L16)</f>
        <v>0</v>
      </c>
      <c r="N16" s="204"/>
      <c r="O16" s="205"/>
      <c r="P16" s="206"/>
      <c r="Q16" s="113">
        <v>2</v>
      </c>
      <c r="R16" s="114" t="s">
        <v>228</v>
      </c>
      <c r="S16" s="115" t="str">
        <f>IF(OR(T16="Preventivo",T16="Detectivo"),"Probabilidad",IF(T16="Correctivo","Impacto",""))</f>
        <v>Impacto</v>
      </c>
      <c r="T16" s="116" t="s">
        <v>15</v>
      </c>
      <c r="U16" s="116" t="s">
        <v>9</v>
      </c>
      <c r="V16" s="117" t="str">
        <f t="shared" ref="V16:V20" si="9">IF(AND(T16="Preventivo",U16="Automático"),"50%",IF(AND(T16="Preventivo",U16="Manual"),"40%",IF(AND(T16="Detectivo",U16="Automático"),"40%",IF(AND(T16="Detectivo",U16="Manual"),"30%",IF(AND(T16="Correctivo",U16="Automático"),"35%",IF(AND(T16="Correctivo",U16="Manual"),"25%",""))))))</f>
        <v>35%</v>
      </c>
      <c r="W16" s="116" t="s">
        <v>18</v>
      </c>
      <c r="X16" s="116" t="s">
        <v>21</v>
      </c>
      <c r="Y16" s="116" t="s">
        <v>115</v>
      </c>
      <c r="Z16" s="118">
        <f>IFERROR(IF(AND(S15="Probabilidad",S16="Probabilidad"),(AB15-(+AB15*V16)),IF(S16="Probabilidad",(K15-(+K15*V16)),IF(S16="Impacto",AB15,""))),"")</f>
        <v>0.3</v>
      </c>
      <c r="AA16" s="119" t="str">
        <f t="shared" si="0"/>
        <v>Baja</v>
      </c>
      <c r="AB16" s="117">
        <f t="shared" ref="AB16:AB20" si="10">+Z16</f>
        <v>0.3</v>
      </c>
      <c r="AC16" s="119" t="str">
        <f t="shared" ca="1" si="2"/>
        <v>Moderado</v>
      </c>
      <c r="AD16" s="117">
        <f ca="1">IFERROR(IF(AND(S15="Impacto",S16="Impacto"),(AD9-(+AD9*V16)),IF(S16="Impacto",($O$15-(+$O$15*V16)),IF(S16="Probabilidad",AD9,""))),"")</f>
        <v>0.52</v>
      </c>
      <c r="AE16" s="120" t="str">
        <f t="shared" ref="AE16:AE17" ca="1" si="11">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Moderado</v>
      </c>
      <c r="AF16" s="116" t="s">
        <v>130</v>
      </c>
      <c r="AG16" s="150" t="s">
        <v>229</v>
      </c>
      <c r="AH16" s="155" t="s">
        <v>222</v>
      </c>
      <c r="AI16" s="123">
        <v>44423</v>
      </c>
      <c r="AJ16" s="123" t="s">
        <v>211</v>
      </c>
      <c r="AK16" s="150" t="s">
        <v>255</v>
      </c>
      <c r="AL16" s="122" t="s">
        <v>39</v>
      </c>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row>
    <row r="17" spans="1:70" ht="168" customHeight="1" x14ac:dyDescent="0.3">
      <c r="A17" s="212"/>
      <c r="B17" s="220"/>
      <c r="C17" s="217"/>
      <c r="D17" s="213"/>
      <c r="E17" s="208"/>
      <c r="F17" s="208"/>
      <c r="G17" s="213"/>
      <c r="H17" s="210"/>
      <c r="I17" s="214"/>
      <c r="J17" s="204"/>
      <c r="K17" s="205"/>
      <c r="L17" s="207"/>
      <c r="M17" s="205">
        <f ca="1">IF(NOT(ISERROR(MATCH(L17,_xlfn.ANCHORARRAY(E28),0))),K30&amp;"Por favor no seleccionar los criterios de impacto",L17)</f>
        <v>0</v>
      </c>
      <c r="N17" s="204"/>
      <c r="O17" s="205"/>
      <c r="P17" s="206"/>
      <c r="Q17" s="113">
        <v>3</v>
      </c>
      <c r="R17" s="126"/>
      <c r="S17" s="115" t="str">
        <f>IF(OR(T17="Preventivo",T17="Detectivo"),"Probabilidad",IF(T17="Correctivo","Impacto",""))</f>
        <v/>
      </c>
      <c r="T17" s="116"/>
      <c r="U17" s="116"/>
      <c r="V17" s="117" t="str">
        <f t="shared" si="9"/>
        <v/>
      </c>
      <c r="W17" s="116"/>
      <c r="X17" s="116"/>
      <c r="Y17" s="116"/>
      <c r="Z17" s="118" t="str">
        <f>IFERROR(IF(AND(S16="Probabilidad",S17="Probabilidad"),(AB16-(+AB16*V17)),IF(AND(S16="Impacto",S17="Probabilidad"),(AB15-(+AB15*V17)),IF(S17="Impacto",AB16,""))),"")</f>
        <v/>
      </c>
      <c r="AA17" s="119" t="str">
        <f t="shared" si="0"/>
        <v/>
      </c>
      <c r="AB17" s="117" t="str">
        <f t="shared" si="10"/>
        <v/>
      </c>
      <c r="AC17" s="119" t="str">
        <f t="shared" si="2"/>
        <v/>
      </c>
      <c r="AD17" s="117" t="str">
        <f>IFERROR(IF(AND(S16="Impacto",S17="Impacto"),(AD16-(+AD16*V17)),IF(AND(S16="Probabilidad",S17="Impacto"),(AD15-(+AD15*V17)),IF(S17="Probabilidad",AD16,""))),"")</f>
        <v/>
      </c>
      <c r="AE17" s="120" t="str">
        <f t="shared" si="11"/>
        <v/>
      </c>
      <c r="AF17" s="116"/>
      <c r="AG17" s="150" t="s">
        <v>230</v>
      </c>
      <c r="AH17" s="155" t="s">
        <v>222</v>
      </c>
      <c r="AI17" s="123">
        <v>44423</v>
      </c>
      <c r="AJ17" s="123" t="s">
        <v>211</v>
      </c>
      <c r="AK17" s="150" t="s">
        <v>256</v>
      </c>
      <c r="AL17" s="157" t="s">
        <v>39</v>
      </c>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row>
    <row r="18" spans="1:70" ht="14.45" customHeight="1" x14ac:dyDescent="0.3">
      <c r="A18" s="212"/>
      <c r="B18" s="220"/>
      <c r="C18" s="217"/>
      <c r="D18" s="213"/>
      <c r="E18" s="208"/>
      <c r="F18" s="208"/>
      <c r="G18" s="213"/>
      <c r="H18" s="210"/>
      <c r="I18" s="214"/>
      <c r="J18" s="204"/>
      <c r="K18" s="205"/>
      <c r="L18" s="207"/>
      <c r="M18" s="205">
        <f ca="1">IF(NOT(ISERROR(MATCH(L18,_xlfn.ANCHORARRAY(E29),0))),K31&amp;"Por favor no seleccionar los criterios de impacto",L18)</f>
        <v>0</v>
      </c>
      <c r="N18" s="204"/>
      <c r="O18" s="205"/>
      <c r="P18" s="206"/>
      <c r="Q18" s="113">
        <v>4</v>
      </c>
      <c r="R18" s="114"/>
      <c r="S18" s="115" t="str">
        <f t="shared" ref="S18:S20" si="12">IF(OR(T18="Preventivo",T18="Detectivo"),"Probabilidad",IF(T18="Correctivo","Impacto",""))</f>
        <v/>
      </c>
      <c r="T18" s="116"/>
      <c r="U18" s="116"/>
      <c r="V18" s="117" t="str">
        <f t="shared" si="9"/>
        <v/>
      </c>
      <c r="W18" s="116"/>
      <c r="X18" s="116"/>
      <c r="Y18" s="116"/>
      <c r="Z18" s="118" t="str">
        <f t="shared" ref="Z18:Z20" si="13">IFERROR(IF(AND(S17="Probabilidad",S18="Probabilidad"),(AB17-(+AB17*V18)),IF(AND(S17="Impacto",S18="Probabilidad"),(AB16-(+AB16*V18)),IF(S18="Impacto",AB17,""))),"")</f>
        <v/>
      </c>
      <c r="AA18" s="119" t="str">
        <f t="shared" si="0"/>
        <v/>
      </c>
      <c r="AB18" s="117" t="str">
        <f t="shared" si="10"/>
        <v/>
      </c>
      <c r="AC18" s="119" t="str">
        <f t="shared" si="2"/>
        <v/>
      </c>
      <c r="AD18" s="117" t="str">
        <f t="shared" ref="AD18:AD20" si="14">IFERROR(IF(AND(S17="Impacto",S18="Impacto"),(AD17-(+AD17*V18)),IF(AND(S17="Probabilidad",S18="Impacto"),(AD16-(+AD16*V18)),IF(S18="Probabilidad",AD17,""))),"")</f>
        <v/>
      </c>
      <c r="AE18" s="120" t="str">
        <f>IFERROR(IF(OR(AND(AA18="Muy Baja",AC18="Leve"),AND(AA18="Muy Baja",AC18="Menor"),AND(AA18="Baja",AC18="Leve")),"Bajo",IF(OR(AND(AA18="Muy baja",AC18="Moderado"),AND(AA18="Baja",AC18="Menor"),AND(AA18="Baja",AC18="Moderado"),AND(AA18="Media",AC18="Leve"),AND(AA18="Media",AC18="Menor"),AND(AA18="Media",AC18="Moderado"),AND(AA18="Alta",AC18="Leve"),AND(AA18="Alta",AC18="Menor")),"Moderado",IF(OR(AND(AA18="Muy Baja",AC18="Mayor"),AND(AA18="Baja",AC18="Mayor"),AND(AA18="Media",AC18="Mayor"),AND(AA18="Alta",AC18="Moderado"),AND(AA18="Alta",AC18="Mayor"),AND(AA18="Muy Alta",AC18="Leve"),AND(AA18="Muy Alta",AC18="Menor"),AND(AA18="Muy Alta",AC18="Moderado"),AND(AA18="Muy Alta",AC18="Mayor")),"Alto",IF(OR(AND(AA18="Muy Baja",AC18="Catastrófico"),AND(AA18="Baja",AC18="Catastrófico"),AND(AA18="Media",AC18="Catastrófico"),AND(AA18="Alta",AC18="Catastrófico"),AND(AA18="Muy Alta",AC18="Catastrófico")),"Extremo","")))),"")</f>
        <v/>
      </c>
      <c r="AF18" s="116"/>
      <c r="AG18" s="121"/>
      <c r="AH18" s="122"/>
      <c r="AI18" s="123"/>
      <c r="AJ18" s="123"/>
      <c r="AK18" s="121"/>
      <c r="AL18" s="122"/>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row>
    <row r="19" spans="1:70" ht="46.5" customHeight="1" x14ac:dyDescent="0.3">
      <c r="A19" s="212"/>
      <c r="B19" s="220"/>
      <c r="C19" s="217"/>
      <c r="D19" s="213"/>
      <c r="E19" s="208"/>
      <c r="F19" s="208"/>
      <c r="G19" s="213"/>
      <c r="H19" s="210"/>
      <c r="I19" s="214"/>
      <c r="J19" s="204"/>
      <c r="K19" s="205"/>
      <c r="L19" s="207"/>
      <c r="M19" s="205">
        <f ca="1">IF(NOT(ISERROR(MATCH(L19,_xlfn.ANCHORARRAY(E30),0))),K32&amp;"Por favor no seleccionar los criterios de impacto",L19)</f>
        <v>0</v>
      </c>
      <c r="N19" s="204"/>
      <c r="O19" s="205"/>
      <c r="P19" s="206"/>
      <c r="Q19" s="113">
        <v>5</v>
      </c>
      <c r="R19" s="114"/>
      <c r="S19" s="115" t="str">
        <f t="shared" si="12"/>
        <v/>
      </c>
      <c r="T19" s="116"/>
      <c r="U19" s="116"/>
      <c r="V19" s="117" t="str">
        <f t="shared" si="9"/>
        <v/>
      </c>
      <c r="W19" s="116"/>
      <c r="X19" s="116"/>
      <c r="Y19" s="116"/>
      <c r="Z19" s="118" t="str">
        <f t="shared" si="13"/>
        <v/>
      </c>
      <c r="AA19" s="119" t="str">
        <f t="shared" si="0"/>
        <v/>
      </c>
      <c r="AB19" s="117" t="str">
        <f t="shared" si="10"/>
        <v/>
      </c>
      <c r="AC19" s="119" t="str">
        <f t="shared" si="2"/>
        <v/>
      </c>
      <c r="AD19" s="117" t="str">
        <f t="shared" si="14"/>
        <v/>
      </c>
      <c r="AE19" s="120" t="str">
        <f t="shared" ref="AE19:AE20" si="15">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
      </c>
      <c r="AF19" s="116"/>
      <c r="AG19" s="121"/>
      <c r="AH19" s="122"/>
      <c r="AI19" s="123"/>
      <c r="AJ19" s="123"/>
      <c r="AK19" s="121"/>
      <c r="AL19" s="122"/>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row>
    <row r="20" spans="1:70" ht="85.5" customHeight="1" x14ac:dyDescent="0.3">
      <c r="A20" s="212"/>
      <c r="B20" s="221"/>
      <c r="C20" s="218"/>
      <c r="D20" s="213"/>
      <c r="E20" s="208"/>
      <c r="F20" s="208"/>
      <c r="G20" s="213"/>
      <c r="H20" s="211"/>
      <c r="I20" s="214"/>
      <c r="J20" s="204"/>
      <c r="K20" s="205"/>
      <c r="L20" s="207"/>
      <c r="M20" s="205">
        <f ca="1">IF(NOT(ISERROR(MATCH(L20,_xlfn.ANCHORARRAY(E31),0))),K33&amp;"Por favor no seleccionar los criterios de impacto",L20)</f>
        <v>0</v>
      </c>
      <c r="N20" s="204"/>
      <c r="O20" s="205"/>
      <c r="P20" s="206"/>
      <c r="Q20" s="113">
        <v>6</v>
      </c>
      <c r="R20" s="114"/>
      <c r="S20" s="115" t="str">
        <f t="shared" si="12"/>
        <v/>
      </c>
      <c r="T20" s="116"/>
      <c r="U20" s="116"/>
      <c r="V20" s="117" t="str">
        <f t="shared" si="9"/>
        <v/>
      </c>
      <c r="W20" s="116"/>
      <c r="X20" s="116"/>
      <c r="Y20" s="116"/>
      <c r="Z20" s="118" t="str">
        <f t="shared" si="13"/>
        <v/>
      </c>
      <c r="AA20" s="119" t="str">
        <f t="shared" si="0"/>
        <v/>
      </c>
      <c r="AB20" s="117" t="str">
        <f t="shared" si="10"/>
        <v/>
      </c>
      <c r="AC20" s="119" t="str">
        <f t="shared" si="2"/>
        <v/>
      </c>
      <c r="AD20" s="117" t="str">
        <f t="shared" si="14"/>
        <v/>
      </c>
      <c r="AE20" s="120" t="str">
        <f t="shared" si="15"/>
        <v/>
      </c>
      <c r="AF20" s="116"/>
      <c r="AG20" s="121"/>
      <c r="AH20" s="122"/>
      <c r="AI20" s="123"/>
      <c r="AJ20" s="123"/>
      <c r="AK20" s="121"/>
      <c r="AL20" s="122"/>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row>
    <row r="21" spans="1:70" ht="61.5" customHeight="1" x14ac:dyDescent="0.3">
      <c r="A21" s="212">
        <v>3</v>
      </c>
      <c r="B21" s="219" t="s">
        <v>249</v>
      </c>
      <c r="C21" s="216" t="s">
        <v>216</v>
      </c>
      <c r="D21" s="213" t="s">
        <v>232</v>
      </c>
      <c r="E21" s="208" t="s">
        <v>231</v>
      </c>
      <c r="F21" s="208" t="s">
        <v>231</v>
      </c>
      <c r="G21" s="213" t="s">
        <v>218</v>
      </c>
      <c r="H21" s="209" t="s">
        <v>210</v>
      </c>
      <c r="I21" s="214">
        <v>10</v>
      </c>
      <c r="J21" s="204" t="str">
        <f>IF(I21&lt;=0,"",IF(I21&lt;=2,"Muy Baja",IF(I21&lt;=24,"Baja",IF(I21&lt;=500,"Media",IF(I21&lt;=5000,"Alta","Muy Alta")))))</f>
        <v>Baja</v>
      </c>
      <c r="K21" s="205">
        <f>IF(J21="","",IF(J21="Muy Baja",0.2,IF(J21="Baja",0.4,IF(J21="Media",0.6,IF(J21="Alta",0.8,IF(J21="Muy Alta",1,))))))</f>
        <v>0.4</v>
      </c>
      <c r="L21" s="207" t="s">
        <v>143</v>
      </c>
      <c r="M21" s="205" t="str">
        <f ca="1">IF(NOT(ISERROR(MATCH(L21,'Tabla Impacto'!$B$221:$B$223,0))),'Tabla Impacto'!$F$223&amp;"Por favor no seleccionar los criterios de impacto(Afectación Económica o presupuestal y Pérdida Reputacional)",L21)</f>
        <v xml:space="preserve">     Entre 10 y 50 SMLMV </v>
      </c>
      <c r="N21" s="204" t="str">
        <f ca="1">IF(OR(M21='Tabla Impacto'!$C$11,M21='Tabla Impacto'!$D$11),"Leve",IF(OR(M21='Tabla Impacto'!$C$12,M21='Tabla Impacto'!$D$12),"Menor",IF(OR(M21='Tabla Impacto'!$C$13,M21='Tabla Impacto'!$D$13),"Moderado",IF(OR(M21='Tabla Impacto'!$C$14,M21='Tabla Impacto'!$D$14),"Mayor",IF(OR(M21='Tabla Impacto'!$C$15,M21='Tabla Impacto'!$D$15),"Catastrófico","")))))</f>
        <v>Menor</v>
      </c>
      <c r="O21" s="205">
        <f ca="1">IF(N21="","",IF(N21="Leve",0.2,IF(N21="Menor",0.4,IF(N21="Moderado",0.6,IF(N21="Mayor",0.8,IF(N21="Catastrófico",1,))))))</f>
        <v>0.4</v>
      </c>
      <c r="P21" s="206" t="str">
        <f ca="1">IF(OR(AND(J21="Muy Baja",N21="Leve"),AND(J21="Muy Baja",N21="Menor"),AND(J21="Baja",N21="Leve")),"Bajo",IF(OR(AND(J21="Muy baja",N21="Moderado"),AND(J21="Baja",N21="Menor"),AND(J21="Baja",N21="Moderado"),AND(J21="Media",N21="Leve"),AND(J21="Media",N21="Menor"),AND(J21="Media",N21="Moderado"),AND(J21="Alta",N21="Leve"),AND(J21="Alta",N21="Menor")),"Moderado",IF(OR(AND(J21="Muy Baja",N21="Mayor"),AND(J21="Baja",N21="Mayor"),AND(J21="Media",N21="Mayor"),AND(J21="Alta",N21="Moderado"),AND(J21="Alta",N21="Mayor"),AND(J21="Muy Alta",N21="Leve"),AND(J21="Muy Alta",N21="Menor"),AND(J21="Muy Alta",N21="Moderado"),AND(J21="Muy Alta",N21="Mayor")),"Alto",IF(OR(AND(J21="Muy Baja",N21="Catastrófico"),AND(J21="Baja",N21="Catastrófico"),AND(J21="Media",N21="Catastrófico"),AND(J21="Alta",N21="Catastrófico"),AND(J21="Muy Alta",N21="Catastrófico")),"Extremo",""))))</f>
        <v>Moderado</v>
      </c>
      <c r="Q21" s="113">
        <v>1</v>
      </c>
      <c r="R21" s="114" t="s">
        <v>233</v>
      </c>
      <c r="S21" s="115" t="str">
        <f>IF(OR(T21="Preventivo",T21="Detectivo"),"Probabilidad",IF(T21="Correctivo","Impacto",""))</f>
        <v>Probabilidad</v>
      </c>
      <c r="T21" s="116" t="s">
        <v>14</v>
      </c>
      <c r="U21" s="116" t="s">
        <v>9</v>
      </c>
      <c r="V21" s="117" t="str">
        <f>IF(AND(T21="Preventivo",U21="Automático"),"50%",IF(AND(T21="Preventivo",U21="Manual"),"40%",IF(AND(T21="Detectivo",U21="Automático"),"40%",IF(AND(T21="Detectivo",U21="Manual"),"30%",IF(AND(T21="Correctivo",U21="Automático"),"35%",IF(AND(T21="Correctivo",U21="Manual"),"25%",""))))))</f>
        <v>40%</v>
      </c>
      <c r="W21" s="116" t="s">
        <v>19</v>
      </c>
      <c r="X21" s="116" t="s">
        <v>22</v>
      </c>
      <c r="Y21" s="116" t="s">
        <v>116</v>
      </c>
      <c r="Z21" s="118">
        <f>IFERROR(IF(S21="Probabilidad",(K21-(+K21*V21)),IF(S21="Impacto",K21,"")),"")</f>
        <v>0.24</v>
      </c>
      <c r="AA21" s="119" t="str">
        <f>IFERROR(IF(Z21="","",IF(Z21&lt;=0.2,"Muy Baja",IF(Z21&lt;=0.4,"Baja",IF(Z21&lt;=0.6,"Media",IF(Z21&lt;=0.8,"Alta","Muy Alta"))))),"")</f>
        <v>Baja</v>
      </c>
      <c r="AB21" s="117">
        <f>+Z21</f>
        <v>0.24</v>
      </c>
      <c r="AC21" s="119" t="str">
        <f ca="1">IFERROR(IF(AD21="","",IF(AD21&lt;=0.2,"Leve",IF(AD21&lt;=0.4,"Menor",IF(AD21&lt;=0.6,"Moderado",IF(AD21&lt;=0.8,"Mayor","Catastrófico"))))),"")</f>
        <v>Menor</v>
      </c>
      <c r="AD21" s="117">
        <f ca="1">IFERROR(IF(S21="Impacto",(O21-(+O21*V21)),IF(S21="Probabilidad",O21,"")),"")</f>
        <v>0.4</v>
      </c>
      <c r="AE21" s="120" t="str">
        <f ca="1">IFERROR(IF(OR(AND(AA21="Muy Baja",AC21="Leve"),AND(AA21="Muy Baja",AC21="Menor"),AND(AA21="Baja",AC21="Leve")),"Bajo",IF(OR(AND(AA21="Muy baja",AC21="Moderado"),AND(AA21="Baja",AC21="Menor"),AND(AA21="Baja",AC21="Moderado"),AND(AA21="Media",AC21="Leve"),AND(AA21="Media",AC21="Menor"),AND(AA21="Media",AC21="Moderado"),AND(AA21="Alta",AC21="Leve"),AND(AA21="Alta",AC21="Menor")),"Moderado",IF(OR(AND(AA21="Muy Baja",AC21="Mayor"),AND(AA21="Baja",AC21="Mayor"),AND(AA21="Media",AC21="Mayor"),AND(AA21="Alta",AC21="Moderado"),AND(AA21="Alta",AC21="Mayor"),AND(AA21="Muy Alta",AC21="Leve"),AND(AA21="Muy Alta",AC21="Menor"),AND(AA21="Muy Alta",AC21="Moderado"),AND(AA21="Muy Alta",AC21="Mayor")),"Alto",IF(OR(AND(AA21="Muy Baja",AC21="Catastrófico"),AND(AA21="Baja",AC21="Catastrófico"),AND(AA21="Media",AC21="Catastrófico"),AND(AA21="Alta",AC21="Catastrófico"),AND(AA21="Muy Alta",AC21="Catastrófico")),"Extremo","")))),"")</f>
        <v>Moderado</v>
      </c>
      <c r="AF21" s="116" t="s">
        <v>130</v>
      </c>
      <c r="AG21" s="150" t="s">
        <v>253</v>
      </c>
      <c r="AH21" s="155" t="s">
        <v>222</v>
      </c>
      <c r="AI21" s="123">
        <v>44423</v>
      </c>
      <c r="AJ21" s="123">
        <v>44560</v>
      </c>
      <c r="AK21" s="158" t="s">
        <v>257</v>
      </c>
      <c r="AL21" s="122" t="s">
        <v>39</v>
      </c>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row>
    <row r="22" spans="1:70" ht="80.25" customHeight="1" x14ac:dyDescent="0.3">
      <c r="A22" s="212"/>
      <c r="B22" s="220"/>
      <c r="C22" s="217"/>
      <c r="D22" s="213"/>
      <c r="E22" s="208"/>
      <c r="F22" s="208"/>
      <c r="G22" s="213"/>
      <c r="H22" s="210"/>
      <c r="I22" s="214"/>
      <c r="J22" s="204"/>
      <c r="K22" s="205"/>
      <c r="L22" s="207"/>
      <c r="M22" s="205">
        <f t="shared" ref="M22:M26" ca="1" si="16">IF(NOT(ISERROR(MATCH(L22,_xlfn.ANCHORARRAY(E33),0))),K35&amp;"Por favor no seleccionar los criterios de impacto",L22)</f>
        <v>0</v>
      </c>
      <c r="N22" s="204"/>
      <c r="O22" s="205"/>
      <c r="P22" s="206"/>
      <c r="Q22" s="113">
        <v>2</v>
      </c>
      <c r="R22" s="114" t="s">
        <v>234</v>
      </c>
      <c r="S22" s="115" t="str">
        <f>IF(OR(T22="Preventivo",T22="Detectivo"),"Probabilidad",IF(T22="Correctivo","Impacto",""))</f>
        <v>Impacto</v>
      </c>
      <c r="T22" s="116" t="s">
        <v>15</v>
      </c>
      <c r="U22" s="116" t="s">
        <v>9</v>
      </c>
      <c r="V22" s="117" t="str">
        <f>IF(AND(T22="Preventivo",U22="Automático"),"50%",IF(AND(T22="Preventivo",U22="Manual"),"40%",IF(AND(T22="Detectivo",U22="Automático"),"40%",IF(AND(T22="Detectivo",U22="Manual"),"30%",IF(AND(T22="Correctivo",U22="Automático"),"35%",IF(AND(T22="Correctivo",U22="Manual"),"25%",""))))))</f>
        <v>35%</v>
      </c>
      <c r="W22" s="116" t="s">
        <v>19</v>
      </c>
      <c r="X22" s="116" t="s">
        <v>22</v>
      </c>
      <c r="Y22" s="116" t="s">
        <v>116</v>
      </c>
      <c r="Z22" s="118">
        <f>IFERROR(IF(S22="Probabilidad",(K22-(+K22*V22)),IF(S22="Impacto",K22,"")),"")</f>
        <v>0</v>
      </c>
      <c r="AA22" s="119" t="str">
        <f>IFERROR(IF(Z22="","",IF(Z22&lt;=0.2,"Muy Baja",IF(Z22&lt;=0.4,"Baja",IF(Z22&lt;=0.6,"Media",IF(Z22&lt;=0.8,"Alta","Muy Alta"))))),"")</f>
        <v>Muy Baja</v>
      </c>
      <c r="AB22" s="117">
        <f>+Z22</f>
        <v>0</v>
      </c>
      <c r="AC22" s="119" t="str">
        <f>IFERROR(IF(AD22="","",IF(AD22&lt;=0.2,"Leve",IF(AD22&lt;=0.4,"Menor",IF(AD22&lt;=0.6,"Moderado",IF(AD22&lt;=0.8,"Mayor","Catastrófico"))))),"")</f>
        <v>Leve</v>
      </c>
      <c r="AD22" s="117">
        <f>IFERROR(IF(S22="Impacto",(O22-(+O22*V22)),IF(S22="Probabilidad",O22,"")),"")</f>
        <v>0</v>
      </c>
      <c r="AE22" s="120" t="str">
        <f>IFERROR(IF(OR(AND(AA22="Muy Baja",AC22="Leve"),AND(AA22="Muy Baja",AC22="Menor"),AND(AA22="Baja",AC22="Leve")),"Bajo",IF(OR(AND(AA22="Muy baja",AC22="Moderado"),AND(AA22="Baja",AC22="Menor"),AND(AA22="Baja",AC22="Moderado"),AND(AA22="Media",AC22="Leve"),AND(AA22="Media",AC22="Menor"),AND(AA22="Media",AC22="Moderado"),AND(AA22="Alta",AC22="Leve"),AND(AA22="Alta",AC22="Menor")),"Moderado",IF(OR(AND(AA22="Muy Baja",AC22="Mayor"),AND(AA22="Baja",AC22="Mayor"),AND(AA22="Media",AC22="Mayor"),AND(AA22="Alta",AC22="Moderado"),AND(AA22="Alta",AC22="Mayor"),AND(AA22="Muy Alta",AC22="Leve"),AND(AA22="Muy Alta",AC22="Menor"),AND(AA22="Muy Alta",AC22="Moderado"),AND(AA22="Muy Alta",AC22="Mayor")),"Alto",IF(OR(AND(AA22="Muy Baja",AC22="Catastrófico"),AND(AA22="Baja",AC22="Catastrófico"),AND(AA22="Media",AC22="Catastrófico"),AND(AA22="Alta",AC22="Catastrófico"),AND(AA22="Muy Alta",AC22="Catastrófico")),"Extremo","")))),"")</f>
        <v>Bajo</v>
      </c>
      <c r="AF22" s="116" t="s">
        <v>130</v>
      </c>
      <c r="AG22" s="150" t="s">
        <v>236</v>
      </c>
      <c r="AH22" s="155" t="s">
        <v>235</v>
      </c>
      <c r="AI22" s="123">
        <v>44423</v>
      </c>
      <c r="AJ22" s="123">
        <v>44560</v>
      </c>
      <c r="AK22" s="158" t="s">
        <v>258</v>
      </c>
      <c r="AL22" s="122" t="s">
        <v>40</v>
      </c>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row>
    <row r="23" spans="1:70" ht="49.5" customHeight="1" x14ac:dyDescent="0.3">
      <c r="A23" s="212"/>
      <c r="B23" s="220"/>
      <c r="C23" s="217"/>
      <c r="D23" s="213"/>
      <c r="E23" s="208"/>
      <c r="F23" s="208"/>
      <c r="G23" s="213"/>
      <c r="H23" s="210"/>
      <c r="I23" s="214"/>
      <c r="J23" s="204"/>
      <c r="K23" s="205"/>
      <c r="L23" s="207"/>
      <c r="M23" s="205">
        <f t="shared" ca="1" si="16"/>
        <v>0</v>
      </c>
      <c r="N23" s="204"/>
      <c r="O23" s="205"/>
      <c r="P23" s="206"/>
      <c r="Q23" s="113">
        <v>3</v>
      </c>
      <c r="R23" s="126"/>
      <c r="S23" s="115" t="str">
        <f>IF(OR(T23="Preventivo",T23="Detectivo"),"Probabilidad",IF(T23="Correctivo","Impacto",""))</f>
        <v/>
      </c>
      <c r="T23" s="116"/>
      <c r="U23" s="116"/>
      <c r="V23" s="117" t="str">
        <f t="shared" ref="V23:V26" si="17">IF(AND(T23="Preventivo",U23="Automático"),"50%",IF(AND(T23="Preventivo",U23="Manual"),"40%",IF(AND(T23="Detectivo",U23="Automático"),"40%",IF(AND(T23="Detectivo",U23="Manual"),"30%",IF(AND(T23="Correctivo",U23="Automático"),"35%",IF(AND(T23="Correctivo",U23="Manual"),"25%",""))))))</f>
        <v/>
      </c>
      <c r="W23" s="116"/>
      <c r="X23" s="116"/>
      <c r="Y23" s="116"/>
      <c r="Z23" s="118" t="str">
        <f>IFERROR(IF(AND(S22="Probabilidad",S23="Probabilidad"),(AB22-(+AB22*V23)),IF(AND(S22="Impacto",S23="Probabilidad"),(AB21-(+AB21*V23)),IF(S23="Impacto",AB22,""))),"")</f>
        <v/>
      </c>
      <c r="AA23" s="119" t="str">
        <f t="shared" si="0"/>
        <v/>
      </c>
      <c r="AB23" s="117" t="str">
        <f t="shared" ref="AB23:AB26" si="18">+Z23</f>
        <v/>
      </c>
      <c r="AC23" s="119" t="str">
        <f t="shared" si="2"/>
        <v/>
      </c>
      <c r="AD23" s="117" t="str">
        <f>IFERROR(IF(AND(S22="Impacto",S23="Impacto"),(AD22-(+AD22*V23)),IF(AND(S22="Probabilidad",S23="Impacto"),(AD21-(+AD21*V23)),IF(S23="Probabilidad",AD22,""))),"")</f>
        <v/>
      </c>
      <c r="AE23" s="120" t="str">
        <f t="shared" ref="AE23" si="19">IFERROR(IF(OR(AND(AA23="Muy Baja",AC23="Leve"),AND(AA23="Muy Baja",AC23="Menor"),AND(AA23="Baja",AC23="Leve")),"Bajo",IF(OR(AND(AA23="Muy baja",AC23="Moderado"),AND(AA23="Baja",AC23="Menor"),AND(AA23="Baja",AC23="Moderado"),AND(AA23="Media",AC23="Leve"),AND(AA23="Media",AC23="Menor"),AND(AA23="Media",AC23="Moderado"),AND(AA23="Alta",AC23="Leve"),AND(AA23="Alta",AC23="Menor")),"Moderado",IF(OR(AND(AA23="Muy Baja",AC23="Mayor"),AND(AA23="Baja",AC23="Mayor"),AND(AA23="Media",AC23="Mayor"),AND(AA23="Alta",AC23="Moderado"),AND(AA23="Alta",AC23="Mayor"),AND(AA23="Muy Alta",AC23="Leve"),AND(AA23="Muy Alta",AC23="Menor"),AND(AA23="Muy Alta",AC23="Moderado"),AND(AA23="Muy Alta",AC23="Mayor")),"Alto",IF(OR(AND(AA23="Muy Baja",AC23="Catastrófico"),AND(AA23="Baja",AC23="Catastrófico"),AND(AA23="Media",AC23="Catastrófico"),AND(AA23="Alta",AC23="Catastrófico"),AND(AA23="Muy Alta",AC23="Catastrófico")),"Extremo","")))),"")</f>
        <v/>
      </c>
      <c r="AF23" s="116"/>
      <c r="AG23" s="121"/>
      <c r="AH23" s="122"/>
      <c r="AI23" s="123"/>
      <c r="AJ23" s="123"/>
      <c r="AK23" s="121"/>
      <c r="AL23" s="122"/>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row>
    <row r="24" spans="1:70" ht="14.45" customHeight="1" x14ac:dyDescent="0.3">
      <c r="A24" s="212"/>
      <c r="B24" s="220"/>
      <c r="C24" s="217"/>
      <c r="D24" s="213"/>
      <c r="E24" s="208"/>
      <c r="F24" s="208"/>
      <c r="G24" s="213"/>
      <c r="H24" s="210"/>
      <c r="I24" s="214"/>
      <c r="J24" s="204"/>
      <c r="K24" s="205"/>
      <c r="L24" s="207"/>
      <c r="M24" s="205">
        <f t="shared" ca="1" si="16"/>
        <v>0</v>
      </c>
      <c r="N24" s="204"/>
      <c r="O24" s="205"/>
      <c r="P24" s="206"/>
      <c r="Q24" s="113">
        <v>4</v>
      </c>
      <c r="R24" s="114"/>
      <c r="S24" s="115" t="str">
        <f t="shared" ref="S24:S26" si="20">IF(OR(T24="Preventivo",T24="Detectivo"),"Probabilidad",IF(T24="Correctivo","Impacto",""))</f>
        <v/>
      </c>
      <c r="T24" s="116"/>
      <c r="U24" s="116"/>
      <c r="V24" s="117" t="str">
        <f t="shared" si="17"/>
        <v/>
      </c>
      <c r="W24" s="116"/>
      <c r="X24" s="116"/>
      <c r="Y24" s="116"/>
      <c r="Z24" s="118" t="str">
        <f t="shared" ref="Z24:Z26" si="21">IFERROR(IF(AND(S23="Probabilidad",S24="Probabilidad"),(AB23-(+AB23*V24)),IF(AND(S23="Impacto",S24="Probabilidad"),(AB22-(+AB22*V24)),IF(S24="Impacto",AB23,""))),"")</f>
        <v/>
      </c>
      <c r="AA24" s="119" t="str">
        <f t="shared" si="0"/>
        <v/>
      </c>
      <c r="AB24" s="117" t="str">
        <f t="shared" si="18"/>
        <v/>
      </c>
      <c r="AC24" s="119" t="str">
        <f t="shared" si="2"/>
        <v/>
      </c>
      <c r="AD24" s="117" t="str">
        <f t="shared" ref="AD24:AD26" si="22">IFERROR(IF(AND(S23="Impacto",S24="Impacto"),(AD23-(+AD23*V24)),IF(AND(S23="Probabilidad",S24="Impacto"),(AD22-(+AD22*V24)),IF(S24="Probabilidad",AD23,""))),"")</f>
        <v/>
      </c>
      <c r="AE24" s="120" t="str">
        <f>IFERROR(IF(OR(AND(AA24="Muy Baja",AC24="Leve"),AND(AA24="Muy Baja",AC24="Menor"),AND(AA24="Baja",AC24="Leve")),"Bajo",IF(OR(AND(AA24="Muy baja",AC24="Moderado"),AND(AA24="Baja",AC24="Menor"),AND(AA24="Baja",AC24="Moderado"),AND(AA24="Media",AC24="Leve"),AND(AA24="Media",AC24="Menor"),AND(AA24="Media",AC24="Moderado"),AND(AA24="Alta",AC24="Leve"),AND(AA24="Alta",AC24="Menor")),"Moderado",IF(OR(AND(AA24="Muy Baja",AC24="Mayor"),AND(AA24="Baja",AC24="Mayor"),AND(AA24="Media",AC24="Mayor"),AND(AA24="Alta",AC24="Moderado"),AND(AA24="Alta",AC24="Mayor"),AND(AA24="Muy Alta",AC24="Leve"),AND(AA24="Muy Alta",AC24="Menor"),AND(AA24="Muy Alta",AC24="Moderado"),AND(AA24="Muy Alta",AC24="Mayor")),"Alto",IF(OR(AND(AA24="Muy Baja",AC24="Catastrófico"),AND(AA24="Baja",AC24="Catastrófico"),AND(AA24="Media",AC24="Catastrófico"),AND(AA24="Alta",AC24="Catastrófico"),AND(AA24="Muy Alta",AC24="Catastrófico")),"Extremo","")))),"")</f>
        <v/>
      </c>
      <c r="AF24" s="116"/>
      <c r="AG24" s="121"/>
      <c r="AH24" s="122"/>
      <c r="AI24" s="123"/>
      <c r="AJ24" s="123"/>
      <c r="AK24" s="121"/>
      <c r="AL24" s="122"/>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row>
    <row r="25" spans="1:70" ht="14.45" customHeight="1" x14ac:dyDescent="0.3">
      <c r="A25" s="212"/>
      <c r="B25" s="220"/>
      <c r="C25" s="217"/>
      <c r="D25" s="213"/>
      <c r="E25" s="208"/>
      <c r="F25" s="208"/>
      <c r="G25" s="213"/>
      <c r="H25" s="210"/>
      <c r="I25" s="214"/>
      <c r="J25" s="204"/>
      <c r="K25" s="205"/>
      <c r="L25" s="207"/>
      <c r="M25" s="205">
        <f t="shared" ca="1" si="16"/>
        <v>0</v>
      </c>
      <c r="N25" s="204"/>
      <c r="O25" s="205"/>
      <c r="P25" s="206"/>
      <c r="Q25" s="113">
        <v>5</v>
      </c>
      <c r="R25" s="114"/>
      <c r="S25" s="115" t="str">
        <f t="shared" si="20"/>
        <v/>
      </c>
      <c r="T25" s="116"/>
      <c r="U25" s="116"/>
      <c r="V25" s="117" t="str">
        <f t="shared" si="17"/>
        <v/>
      </c>
      <c r="W25" s="116"/>
      <c r="X25" s="116"/>
      <c r="Y25" s="116"/>
      <c r="Z25" s="118" t="str">
        <f t="shared" si="21"/>
        <v/>
      </c>
      <c r="AA25" s="119" t="str">
        <f t="shared" si="0"/>
        <v/>
      </c>
      <c r="AB25" s="117" t="str">
        <f t="shared" si="18"/>
        <v/>
      </c>
      <c r="AC25" s="119" t="str">
        <f t="shared" si="2"/>
        <v/>
      </c>
      <c r="AD25" s="117" t="str">
        <f t="shared" si="22"/>
        <v/>
      </c>
      <c r="AE25" s="120" t="str">
        <f t="shared" ref="AE25:AE26" si="23">IFERROR(IF(OR(AND(AA25="Muy Baja",AC25="Leve"),AND(AA25="Muy Baja",AC25="Menor"),AND(AA25="Baja",AC25="Leve")),"Bajo",IF(OR(AND(AA25="Muy baja",AC25="Moderado"),AND(AA25="Baja",AC25="Menor"),AND(AA25="Baja",AC25="Moderado"),AND(AA25="Media",AC25="Leve"),AND(AA25="Media",AC25="Menor"),AND(AA25="Media",AC25="Moderado"),AND(AA25="Alta",AC25="Leve"),AND(AA25="Alta",AC25="Menor")),"Moderado",IF(OR(AND(AA25="Muy Baja",AC25="Mayor"),AND(AA25="Baja",AC25="Mayor"),AND(AA25="Media",AC25="Mayor"),AND(AA25="Alta",AC25="Moderado"),AND(AA25="Alta",AC25="Mayor"),AND(AA25="Muy Alta",AC25="Leve"),AND(AA25="Muy Alta",AC25="Menor"),AND(AA25="Muy Alta",AC25="Moderado"),AND(AA25="Muy Alta",AC25="Mayor")),"Alto",IF(OR(AND(AA25="Muy Baja",AC25="Catastrófico"),AND(AA25="Baja",AC25="Catastrófico"),AND(AA25="Media",AC25="Catastrófico"),AND(AA25="Alta",AC25="Catastrófico"),AND(AA25="Muy Alta",AC25="Catastrófico")),"Extremo","")))),"")</f>
        <v/>
      </c>
      <c r="AF25" s="116"/>
      <c r="AG25" s="121"/>
      <c r="AH25" s="122"/>
      <c r="AI25" s="123"/>
      <c r="AJ25" s="123"/>
      <c r="AK25" s="121"/>
      <c r="AL25" s="122"/>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row>
    <row r="26" spans="1:70" ht="108" customHeight="1" x14ac:dyDescent="0.3">
      <c r="A26" s="212"/>
      <c r="B26" s="221"/>
      <c r="C26" s="218"/>
      <c r="D26" s="213"/>
      <c r="E26" s="208"/>
      <c r="F26" s="208"/>
      <c r="G26" s="213"/>
      <c r="H26" s="211"/>
      <c r="I26" s="214"/>
      <c r="J26" s="204"/>
      <c r="K26" s="205"/>
      <c r="L26" s="207"/>
      <c r="M26" s="205">
        <f t="shared" ca="1" si="16"/>
        <v>0</v>
      </c>
      <c r="N26" s="204"/>
      <c r="O26" s="205"/>
      <c r="P26" s="206"/>
      <c r="Q26" s="113">
        <v>6</v>
      </c>
      <c r="R26" s="114"/>
      <c r="S26" s="115" t="str">
        <f t="shared" si="20"/>
        <v/>
      </c>
      <c r="T26" s="116"/>
      <c r="U26" s="116"/>
      <c r="V26" s="117" t="str">
        <f t="shared" si="17"/>
        <v/>
      </c>
      <c r="W26" s="116"/>
      <c r="X26" s="116"/>
      <c r="Y26" s="116"/>
      <c r="Z26" s="118" t="str">
        <f t="shared" si="21"/>
        <v/>
      </c>
      <c r="AA26" s="119" t="str">
        <f t="shared" si="0"/>
        <v/>
      </c>
      <c r="AB26" s="117" t="str">
        <f t="shared" si="18"/>
        <v/>
      </c>
      <c r="AC26" s="119" t="str">
        <f t="shared" si="2"/>
        <v/>
      </c>
      <c r="AD26" s="117" t="str">
        <f t="shared" si="22"/>
        <v/>
      </c>
      <c r="AE26" s="120" t="str">
        <f t="shared" si="23"/>
        <v/>
      </c>
      <c r="AF26" s="116"/>
      <c r="AG26" s="121"/>
      <c r="AH26" s="122"/>
      <c r="AI26" s="123"/>
      <c r="AJ26" s="123"/>
      <c r="AK26" s="121"/>
      <c r="AL26" s="122"/>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row>
    <row r="27" spans="1:70" ht="69.75" customHeight="1" x14ac:dyDescent="0.3">
      <c r="A27" s="212">
        <v>4</v>
      </c>
      <c r="B27" s="219" t="s">
        <v>249</v>
      </c>
      <c r="C27" s="216" t="s">
        <v>216</v>
      </c>
      <c r="D27" s="213" t="s">
        <v>238</v>
      </c>
      <c r="E27" s="208" t="s">
        <v>237</v>
      </c>
      <c r="F27" s="208" t="s">
        <v>237</v>
      </c>
      <c r="G27" s="213" t="s">
        <v>212</v>
      </c>
      <c r="H27" s="209" t="s">
        <v>210</v>
      </c>
      <c r="I27" s="214">
        <v>20</v>
      </c>
      <c r="J27" s="204" t="str">
        <f>IF(I27&lt;=0,"",IF(I27&lt;=2,"Muy Baja",IF(I27&lt;=24,"Baja",IF(I27&lt;=500,"Media",IF(I27&lt;=5000,"Alta","Muy Alta")))))</f>
        <v>Baja</v>
      </c>
      <c r="K27" s="205">
        <f>IF(J27="","",IF(J27="Muy Baja",0.2,IF(J27="Baja",0.4,IF(J27="Media",0.6,IF(J27="Alta",0.8,IF(J27="Muy Alta",1,))))))</f>
        <v>0.4</v>
      </c>
      <c r="L27" s="207" t="s">
        <v>144</v>
      </c>
      <c r="M27" s="205" t="str">
        <f ca="1">IF(NOT(ISERROR(MATCH(L27,'Tabla Impacto'!$B$221:$B$223,0))),'Tabla Impacto'!$F$223&amp;"Por favor no seleccionar los criterios de impacto(Afectación Económica o presupuestal y Pérdida Reputacional)",L27)</f>
        <v xml:space="preserve">     Entre 100 y 500 SMLMV </v>
      </c>
      <c r="N27" s="204" t="str">
        <f ca="1">IF(OR(M27='Tabla Impacto'!$C$11,M27='Tabla Impacto'!$D$11),"Leve",IF(OR(M27='Tabla Impacto'!$C$12,M27='Tabla Impacto'!$D$12),"Menor",IF(OR(M27='Tabla Impacto'!$C$13,M27='Tabla Impacto'!$D$13),"Moderado",IF(OR(M27='Tabla Impacto'!$C$14,M27='Tabla Impacto'!$D$14),"Mayor",IF(OR(M27='Tabla Impacto'!$C$15,M27='Tabla Impacto'!$D$15),"Catastrófico","")))))</f>
        <v>Mayor</v>
      </c>
      <c r="O27" s="205">
        <f ca="1">IF(N27="","",IF(N27="Leve",0.2,IF(N27="Menor",0.4,IF(N27="Moderado",0.6,IF(N27="Mayor",0.8,IF(N27="Catastrófico",1,))))))</f>
        <v>0.8</v>
      </c>
      <c r="P27" s="206" t="str">
        <f ca="1">IF(OR(AND(J27="Muy Baja",N27="Leve"),AND(J27="Muy Baja",N27="Menor"),AND(J27="Baja",N27="Leve")),"Bajo",IF(OR(AND(J27="Muy baja",N27="Moderado"),AND(J27="Baja",N27="Menor"),AND(J27="Baja",N27="Moderado"),AND(J27="Media",N27="Leve"),AND(J27="Media",N27="Menor"),AND(J27="Media",N27="Moderado"),AND(J27="Alta",N27="Leve"),AND(J27="Alta",N27="Menor")),"Moderado",IF(OR(AND(J27="Muy Baja",N27="Mayor"),AND(J27="Baja",N27="Mayor"),AND(J27="Media",N27="Mayor"),AND(J27="Alta",N27="Moderado"),AND(J27="Alta",N27="Mayor"),AND(J27="Muy Alta",N27="Leve"),AND(J27="Muy Alta",N27="Menor"),AND(J27="Muy Alta",N27="Moderado"),AND(J27="Muy Alta",N27="Mayor")),"Alto",IF(OR(AND(J27="Muy Baja",N27="Catastrófico"),AND(J27="Baja",N27="Catastrófico"),AND(J27="Media",N27="Catastrófico"),AND(J27="Alta",N27="Catastrófico"),AND(J27="Muy Alta",N27="Catastrófico")),"Extremo",""))))</f>
        <v>Alto</v>
      </c>
      <c r="Q27" s="113">
        <v>1</v>
      </c>
      <c r="R27" s="114" t="s">
        <v>239</v>
      </c>
      <c r="S27" s="115" t="str">
        <f>IF(OR(T27="Preventivo",T27="Detectivo"),"Probabilidad",IF(T27="Correctivo","Impacto",""))</f>
        <v>Probabilidad</v>
      </c>
      <c r="T27" s="116" t="s">
        <v>14</v>
      </c>
      <c r="U27" s="116" t="s">
        <v>9</v>
      </c>
      <c r="V27" s="117" t="str">
        <f>IF(AND(T27="Preventivo",U27="Automático"),"50%",IF(AND(T27="Preventivo",U27="Manual"),"40%",IF(AND(T27="Detectivo",U27="Automático"),"40%",IF(AND(T27="Detectivo",U27="Manual"),"30%",IF(AND(T27="Correctivo",U27="Automático"),"35%",IF(AND(T27="Correctivo",U27="Manual"),"25%",""))))))</f>
        <v>40%</v>
      </c>
      <c r="W27" s="116" t="s">
        <v>19</v>
      </c>
      <c r="X27" s="116" t="s">
        <v>22</v>
      </c>
      <c r="Y27" s="116" t="s">
        <v>116</v>
      </c>
      <c r="Z27" s="118">
        <f>IFERROR(IF(S27="Probabilidad",(K27-(+K27*V27)),IF(S27="Impacto",K27,"")),"")</f>
        <v>0.24</v>
      </c>
      <c r="AA27" s="119" t="str">
        <f>IFERROR(IF(Z27="","",IF(Z27&lt;=0.2,"Muy Baja",IF(Z27&lt;=0.4,"Baja",IF(Z27&lt;=0.6,"Media",IF(Z27&lt;=0.8,"Alta","Muy Alta"))))),"")</f>
        <v>Baja</v>
      </c>
      <c r="AB27" s="117">
        <f>+Z27</f>
        <v>0.24</v>
      </c>
      <c r="AC27" s="119" t="str">
        <f ca="1">IFERROR(IF(AD27="","",IF(AD27&lt;=0.2,"Leve",IF(AD27&lt;=0.4,"Menor",IF(AD27&lt;=0.6,"Moderado",IF(AD27&lt;=0.8,"Mayor","Catastrófico"))))),"")</f>
        <v>Mayor</v>
      </c>
      <c r="AD27" s="117">
        <f ca="1">IFERROR(IF(S27="Impacto",(O27-(+O27*V27)),IF(S27="Probabilidad",O27,"")),"")</f>
        <v>0.8</v>
      </c>
      <c r="AE27" s="120" t="str">
        <f ca="1">IFERROR(IF(OR(AND(AA27="Muy Baja",AC27="Leve"),AND(AA27="Muy Baja",AC27="Menor"),AND(AA27="Baja",AC27="Leve")),"Bajo",IF(OR(AND(AA27="Muy baja",AC27="Moderado"),AND(AA27="Baja",AC27="Menor"),AND(AA27="Baja",AC27="Moderado"),AND(AA27="Media",AC27="Leve"),AND(AA27="Media",AC27="Menor"),AND(AA27="Media",AC27="Moderado"),AND(AA27="Alta",AC27="Leve"),AND(AA27="Alta",AC27="Menor")),"Moderado",IF(OR(AND(AA27="Muy Baja",AC27="Mayor"),AND(AA27="Baja",AC27="Mayor"),AND(AA27="Media",AC27="Mayor"),AND(AA27="Alta",AC27="Moderado"),AND(AA27="Alta",AC27="Mayor"),AND(AA27="Muy Alta",AC27="Leve"),AND(AA27="Muy Alta",AC27="Menor"),AND(AA27="Muy Alta",AC27="Moderado"),AND(AA27="Muy Alta",AC27="Mayor")),"Alto",IF(OR(AND(AA27="Muy Baja",AC27="Catastrófico"),AND(AA27="Baja",AC27="Catastrófico"),AND(AA27="Media",AC27="Catastrófico"),AND(AA27="Alta",AC27="Catastrófico"),AND(AA27="Muy Alta",AC27="Catastrófico")),"Extremo","")))),"")</f>
        <v>Alto</v>
      </c>
      <c r="AF27" s="116" t="s">
        <v>130</v>
      </c>
      <c r="AG27" s="150" t="s">
        <v>243</v>
      </c>
      <c r="AH27" s="155" t="s">
        <v>222</v>
      </c>
      <c r="AI27" s="123">
        <v>44423</v>
      </c>
      <c r="AJ27" s="123">
        <v>44560</v>
      </c>
      <c r="AK27" s="150" t="s">
        <v>259</v>
      </c>
      <c r="AL27" s="122" t="s">
        <v>40</v>
      </c>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row>
    <row r="28" spans="1:70" ht="84" customHeight="1" x14ac:dyDescent="0.3">
      <c r="A28" s="212"/>
      <c r="B28" s="220"/>
      <c r="C28" s="217"/>
      <c r="D28" s="213"/>
      <c r="E28" s="208"/>
      <c r="F28" s="208"/>
      <c r="G28" s="213"/>
      <c r="H28" s="210"/>
      <c r="I28" s="214"/>
      <c r="J28" s="204"/>
      <c r="K28" s="205"/>
      <c r="L28" s="207"/>
      <c r="M28" s="205">
        <f t="shared" ref="M28:M32" ca="1" si="24">IF(NOT(ISERROR(MATCH(L28,_xlfn.ANCHORARRAY(E39),0))),K41&amp;"Por favor no seleccionar los criterios de impacto",L28)</f>
        <v>0</v>
      </c>
      <c r="N28" s="204"/>
      <c r="O28" s="205"/>
      <c r="P28" s="206"/>
      <c r="Q28" s="113">
        <v>2</v>
      </c>
      <c r="R28" s="114" t="s">
        <v>240</v>
      </c>
      <c r="S28" s="115" t="str">
        <f>IF(OR(T28="Preventivo",T28="Detectivo"),"Probabilidad",IF(T28="Correctivo","Impacto",""))</f>
        <v>Probabilidad</v>
      </c>
      <c r="T28" s="116" t="s">
        <v>13</v>
      </c>
      <c r="U28" s="116" t="s">
        <v>9</v>
      </c>
      <c r="V28" s="117" t="str">
        <f t="shared" ref="V28:V32" si="25">IF(AND(T28="Preventivo",U28="Automático"),"50%",IF(AND(T28="Preventivo",U28="Manual"),"40%",IF(AND(T28="Detectivo",U28="Automático"),"40%",IF(AND(T28="Detectivo",U28="Manual"),"30%",IF(AND(T28="Correctivo",U28="Automático"),"35%",IF(AND(T28="Correctivo",U28="Manual"),"25%",""))))))</f>
        <v>50%</v>
      </c>
      <c r="W28" s="116" t="s">
        <v>18</v>
      </c>
      <c r="X28" s="116" t="s">
        <v>21</v>
      </c>
      <c r="Y28" s="116" t="s">
        <v>115</v>
      </c>
      <c r="Z28" s="118">
        <f>IFERROR(IF(AND(S27="Probabilidad",S28="Probabilidad"),(AB27-(+AB27*V28)),IF(S28="Probabilidad",(K27-(+K27*V28)),IF(S28="Impacto",AB27,""))),"")</f>
        <v>0.12</v>
      </c>
      <c r="AA28" s="119" t="str">
        <f t="shared" si="0"/>
        <v>Muy Baja</v>
      </c>
      <c r="AB28" s="117">
        <f t="shared" ref="AB28:AB32" si="26">+Z28</f>
        <v>0.12</v>
      </c>
      <c r="AC28" s="119" t="str">
        <f t="shared" ca="1" si="2"/>
        <v>Menor</v>
      </c>
      <c r="AD28" s="117">
        <f ca="1">IFERROR(IF(AND(S27="Impacto",S28="Impacto"),(AD21-(+AD21*V28)),IF(S28="Impacto",($O$27-(+$O$27*V28)),IF(S28="Probabilidad",AD21,""))),"")</f>
        <v>0.4</v>
      </c>
      <c r="AE28" s="120" t="str">
        <f t="shared" ref="AE28:AE29" ca="1" si="27">IFERROR(IF(OR(AND(AA28="Muy Baja",AC28="Leve"),AND(AA28="Muy Baja",AC28="Menor"),AND(AA28="Baja",AC28="Leve")),"Bajo",IF(OR(AND(AA28="Muy baja",AC28="Moderado"),AND(AA28="Baja",AC28="Menor"),AND(AA28="Baja",AC28="Moderado"),AND(AA28="Media",AC28="Leve"),AND(AA28="Media",AC28="Menor"),AND(AA28="Media",AC28="Moderado"),AND(AA28="Alta",AC28="Leve"),AND(AA28="Alta",AC28="Menor")),"Moderado",IF(OR(AND(AA28="Muy Baja",AC28="Mayor"),AND(AA28="Baja",AC28="Mayor"),AND(AA28="Media",AC28="Mayor"),AND(AA28="Alta",AC28="Moderado"),AND(AA28="Alta",AC28="Mayor"),AND(AA28="Muy Alta",AC28="Leve"),AND(AA28="Muy Alta",AC28="Menor"),AND(AA28="Muy Alta",AC28="Moderado"),AND(AA28="Muy Alta",AC28="Mayor")),"Alto",IF(OR(AND(AA28="Muy Baja",AC28="Catastrófico"),AND(AA28="Baja",AC28="Catastrófico"),AND(AA28="Media",AC28="Catastrófico"),AND(AA28="Alta",AC28="Catastrófico"),AND(AA28="Muy Alta",AC28="Catastrófico")),"Extremo","")))),"")</f>
        <v>Bajo</v>
      </c>
      <c r="AF28" s="116" t="s">
        <v>130</v>
      </c>
      <c r="AG28" s="150" t="s">
        <v>260</v>
      </c>
      <c r="AH28" s="155" t="s">
        <v>222</v>
      </c>
      <c r="AI28" s="123">
        <v>44423</v>
      </c>
      <c r="AJ28" s="123">
        <v>44560</v>
      </c>
      <c r="AK28" s="150" t="s">
        <v>261</v>
      </c>
      <c r="AL28" s="122" t="s">
        <v>40</v>
      </c>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row>
    <row r="29" spans="1:70" ht="101.25" customHeight="1" x14ac:dyDescent="0.3">
      <c r="A29" s="212"/>
      <c r="B29" s="220"/>
      <c r="C29" s="217"/>
      <c r="D29" s="213"/>
      <c r="E29" s="208"/>
      <c r="F29" s="208"/>
      <c r="G29" s="213"/>
      <c r="H29" s="210"/>
      <c r="I29" s="214"/>
      <c r="J29" s="204"/>
      <c r="K29" s="205"/>
      <c r="L29" s="207"/>
      <c r="M29" s="205">
        <f t="shared" ca="1" si="24"/>
        <v>0</v>
      </c>
      <c r="N29" s="204"/>
      <c r="O29" s="205"/>
      <c r="P29" s="206"/>
      <c r="Q29" s="113">
        <v>3</v>
      </c>
      <c r="R29" s="126" t="s">
        <v>242</v>
      </c>
      <c r="S29" s="115" t="str">
        <f>IF(OR(T29="Preventivo",T29="Detectivo"),"Probabilidad",IF(T29="Correctivo","Impacto",""))</f>
        <v>Probabilidad</v>
      </c>
      <c r="T29" s="116" t="s">
        <v>13</v>
      </c>
      <c r="U29" s="116" t="s">
        <v>8</v>
      </c>
      <c r="V29" s="117" t="str">
        <f t="shared" si="25"/>
        <v>40%</v>
      </c>
      <c r="W29" s="116" t="s">
        <v>19</v>
      </c>
      <c r="X29" s="116" t="s">
        <v>21</v>
      </c>
      <c r="Y29" s="116" t="s">
        <v>115</v>
      </c>
      <c r="Z29" s="118">
        <f>IFERROR(IF(AND(S28="Probabilidad",S29="Probabilidad"),(AB28-(+AB28*V29)),IF(AND(S28="Impacto",S29="Probabilidad"),(AB27-(+AB27*V29)),IF(S29="Impacto",AB28,""))),"")</f>
        <v>7.1999999999999995E-2</v>
      </c>
      <c r="AA29" s="119" t="str">
        <f t="shared" si="0"/>
        <v>Muy Baja</v>
      </c>
      <c r="AB29" s="117">
        <f t="shared" si="26"/>
        <v>7.1999999999999995E-2</v>
      </c>
      <c r="AC29" s="119" t="str">
        <f t="shared" ca="1" si="2"/>
        <v>Menor</v>
      </c>
      <c r="AD29" s="117">
        <f ca="1">IFERROR(IF(AND(S28="Impacto",S29="Impacto"),(AD28-(+AD28*V29)),IF(AND(S28="Probabilidad",S29="Impacto"),(AD27-(+AD27*V29)),IF(S29="Probabilidad",AD28,""))),"")</f>
        <v>0.4</v>
      </c>
      <c r="AE29" s="120" t="str">
        <f t="shared" ca="1" si="27"/>
        <v>Bajo</v>
      </c>
      <c r="AF29" s="116" t="s">
        <v>130</v>
      </c>
      <c r="AG29" s="150" t="s">
        <v>241</v>
      </c>
      <c r="AH29" s="155" t="s">
        <v>222</v>
      </c>
      <c r="AI29" s="123">
        <v>44423</v>
      </c>
      <c r="AJ29" s="123">
        <v>44560</v>
      </c>
      <c r="AK29" s="150" t="s">
        <v>262</v>
      </c>
      <c r="AL29" s="157" t="s">
        <v>40</v>
      </c>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row>
    <row r="30" spans="1:70" ht="14.45" customHeight="1" x14ac:dyDescent="0.3">
      <c r="A30" s="212"/>
      <c r="B30" s="220"/>
      <c r="C30" s="217"/>
      <c r="D30" s="213"/>
      <c r="E30" s="208"/>
      <c r="F30" s="208"/>
      <c r="G30" s="213"/>
      <c r="H30" s="210"/>
      <c r="I30" s="214"/>
      <c r="J30" s="204"/>
      <c r="K30" s="205"/>
      <c r="L30" s="207"/>
      <c r="M30" s="205">
        <f t="shared" ca="1" si="24"/>
        <v>0</v>
      </c>
      <c r="N30" s="204"/>
      <c r="O30" s="205"/>
      <c r="P30" s="206"/>
      <c r="Q30" s="113">
        <v>4</v>
      </c>
      <c r="R30" s="114"/>
      <c r="S30" s="115" t="str">
        <f t="shared" ref="S30:S32" si="28">IF(OR(T30="Preventivo",T30="Detectivo"),"Probabilidad",IF(T30="Correctivo","Impacto",""))</f>
        <v/>
      </c>
      <c r="T30" s="116"/>
      <c r="U30" s="116"/>
      <c r="V30" s="117" t="str">
        <f t="shared" si="25"/>
        <v/>
      </c>
      <c r="W30" s="116"/>
      <c r="X30" s="116"/>
      <c r="Y30" s="116"/>
      <c r="Z30" s="118" t="str">
        <f t="shared" ref="Z30:Z32" si="29">IFERROR(IF(AND(S29="Probabilidad",S30="Probabilidad"),(AB29-(+AB29*V30)),IF(AND(S29="Impacto",S30="Probabilidad"),(AB28-(+AB28*V30)),IF(S30="Impacto",AB29,""))),"")</f>
        <v/>
      </c>
      <c r="AA30" s="119" t="str">
        <f t="shared" si="0"/>
        <v/>
      </c>
      <c r="AB30" s="117" t="str">
        <f t="shared" si="26"/>
        <v/>
      </c>
      <c r="AC30" s="119" t="str">
        <f t="shared" si="2"/>
        <v/>
      </c>
      <c r="AD30" s="117" t="str">
        <f t="shared" ref="AD30:AD32" si="30">IFERROR(IF(AND(S29="Impacto",S30="Impacto"),(AD29-(+AD29*V30)),IF(AND(S29="Probabilidad",S30="Impacto"),(AD28-(+AD28*V30)),IF(S30="Probabilidad",AD29,""))),"")</f>
        <v/>
      </c>
      <c r="AE30" s="120" t="str">
        <f>IFERROR(IF(OR(AND(AA30="Muy Baja",AC30="Leve"),AND(AA30="Muy Baja",AC30="Menor"),AND(AA30="Baja",AC30="Leve")),"Bajo",IF(OR(AND(AA30="Muy baja",AC30="Moderado"),AND(AA30="Baja",AC30="Menor"),AND(AA30="Baja",AC30="Moderado"),AND(AA30="Media",AC30="Leve"),AND(AA30="Media",AC30="Menor"),AND(AA30="Media",AC30="Moderado"),AND(AA30="Alta",AC30="Leve"),AND(AA30="Alta",AC30="Menor")),"Moderado",IF(OR(AND(AA30="Muy Baja",AC30="Mayor"),AND(AA30="Baja",AC30="Mayor"),AND(AA30="Media",AC30="Mayor"),AND(AA30="Alta",AC30="Moderado"),AND(AA30="Alta",AC30="Mayor"),AND(AA30="Muy Alta",AC30="Leve"),AND(AA30="Muy Alta",AC30="Menor"),AND(AA30="Muy Alta",AC30="Moderado"),AND(AA30="Muy Alta",AC30="Mayor")),"Alto",IF(OR(AND(AA30="Muy Baja",AC30="Catastrófico"),AND(AA30="Baja",AC30="Catastrófico"),AND(AA30="Media",AC30="Catastrófico"),AND(AA30="Alta",AC30="Catastrófico"),AND(AA30="Muy Alta",AC30="Catastrófico")),"Extremo","")))),"")</f>
        <v/>
      </c>
      <c r="AF30" s="116"/>
      <c r="AG30" s="121"/>
      <c r="AH30" s="122"/>
      <c r="AI30" s="123"/>
      <c r="AJ30" s="123"/>
      <c r="AK30" s="121"/>
      <c r="AL30" s="122"/>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row>
    <row r="31" spans="1:70" ht="14.45" customHeight="1" x14ac:dyDescent="0.3">
      <c r="A31" s="212"/>
      <c r="B31" s="220"/>
      <c r="C31" s="217"/>
      <c r="D31" s="213"/>
      <c r="E31" s="208"/>
      <c r="F31" s="208"/>
      <c r="G31" s="213"/>
      <c r="H31" s="210"/>
      <c r="I31" s="214"/>
      <c r="J31" s="204"/>
      <c r="K31" s="205"/>
      <c r="L31" s="207"/>
      <c r="M31" s="205">
        <f t="shared" ca="1" si="24"/>
        <v>0</v>
      </c>
      <c r="N31" s="204"/>
      <c r="O31" s="205"/>
      <c r="P31" s="206"/>
      <c r="Q31" s="113">
        <v>5</v>
      </c>
      <c r="R31" s="114"/>
      <c r="S31" s="115" t="str">
        <f t="shared" si="28"/>
        <v/>
      </c>
      <c r="T31" s="116"/>
      <c r="U31" s="116"/>
      <c r="V31" s="117" t="str">
        <f t="shared" si="25"/>
        <v/>
      </c>
      <c r="W31" s="116"/>
      <c r="X31" s="116"/>
      <c r="Y31" s="116"/>
      <c r="Z31" s="127" t="str">
        <f t="shared" si="29"/>
        <v/>
      </c>
      <c r="AA31" s="119" t="str">
        <f>IFERROR(IF(Z31="","",IF(Z31&lt;=0.2,"Muy Baja",IF(Z31&lt;=0.4,"Baja",IF(Z31&lt;=0.6,"Media",IF(Z31&lt;=0.8,"Alta","Muy Alta"))))),"")</f>
        <v/>
      </c>
      <c r="AB31" s="117" t="str">
        <f t="shared" si="26"/>
        <v/>
      </c>
      <c r="AC31" s="119" t="str">
        <f t="shared" si="2"/>
        <v/>
      </c>
      <c r="AD31" s="117" t="str">
        <f t="shared" si="30"/>
        <v/>
      </c>
      <c r="AE31" s="120" t="str">
        <f t="shared" ref="AE31:AE32" si="31">IFERROR(IF(OR(AND(AA31="Muy Baja",AC31="Leve"),AND(AA31="Muy Baja",AC31="Menor"),AND(AA31="Baja",AC31="Leve")),"Bajo",IF(OR(AND(AA31="Muy baja",AC31="Moderado"),AND(AA31="Baja",AC31="Menor"),AND(AA31="Baja",AC31="Moderado"),AND(AA31="Media",AC31="Leve"),AND(AA31="Media",AC31="Menor"),AND(AA31="Media",AC31="Moderado"),AND(AA31="Alta",AC31="Leve"),AND(AA31="Alta",AC31="Menor")),"Moderado",IF(OR(AND(AA31="Muy Baja",AC31="Mayor"),AND(AA31="Baja",AC31="Mayor"),AND(AA31="Media",AC31="Mayor"),AND(AA31="Alta",AC31="Moderado"),AND(AA31="Alta",AC31="Mayor"),AND(AA31="Muy Alta",AC31="Leve"),AND(AA31="Muy Alta",AC31="Menor"),AND(AA31="Muy Alta",AC31="Moderado"),AND(AA31="Muy Alta",AC31="Mayor")),"Alto",IF(OR(AND(AA31="Muy Baja",AC31="Catastrófico"),AND(AA31="Baja",AC31="Catastrófico"),AND(AA31="Media",AC31="Catastrófico"),AND(AA31="Alta",AC31="Catastrófico"),AND(AA31="Muy Alta",AC31="Catastrófico")),"Extremo","")))),"")</f>
        <v/>
      </c>
      <c r="AF31" s="116"/>
      <c r="AG31" s="121"/>
      <c r="AH31" s="122"/>
      <c r="AI31" s="123"/>
      <c r="AJ31" s="123"/>
      <c r="AK31" s="121"/>
      <c r="AL31" s="122"/>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row>
    <row r="32" spans="1:70" ht="38.25" customHeight="1" x14ac:dyDescent="0.3">
      <c r="A32" s="212"/>
      <c r="B32" s="221"/>
      <c r="C32" s="218"/>
      <c r="D32" s="213"/>
      <c r="E32" s="208"/>
      <c r="F32" s="208"/>
      <c r="G32" s="213"/>
      <c r="H32" s="211"/>
      <c r="I32" s="214"/>
      <c r="J32" s="204"/>
      <c r="K32" s="205"/>
      <c r="L32" s="207"/>
      <c r="M32" s="205">
        <f t="shared" ca="1" si="24"/>
        <v>0</v>
      </c>
      <c r="N32" s="204"/>
      <c r="O32" s="205"/>
      <c r="P32" s="206"/>
      <c r="Q32" s="113">
        <v>6</v>
      </c>
      <c r="R32" s="114"/>
      <c r="S32" s="115" t="str">
        <f t="shared" si="28"/>
        <v/>
      </c>
      <c r="T32" s="116"/>
      <c r="U32" s="116"/>
      <c r="V32" s="117" t="str">
        <f t="shared" si="25"/>
        <v/>
      </c>
      <c r="W32" s="116"/>
      <c r="X32" s="116"/>
      <c r="Y32" s="116"/>
      <c r="Z32" s="118" t="str">
        <f t="shared" si="29"/>
        <v/>
      </c>
      <c r="AA32" s="119" t="str">
        <f t="shared" si="0"/>
        <v/>
      </c>
      <c r="AB32" s="117" t="str">
        <f t="shared" si="26"/>
        <v/>
      </c>
      <c r="AC32" s="119" t="str">
        <f t="shared" si="2"/>
        <v/>
      </c>
      <c r="AD32" s="117" t="str">
        <f t="shared" si="30"/>
        <v/>
      </c>
      <c r="AE32" s="120" t="str">
        <f t="shared" si="31"/>
        <v/>
      </c>
      <c r="AF32" s="116"/>
      <c r="AG32" s="121"/>
      <c r="AH32" s="122"/>
      <c r="AI32" s="123"/>
      <c r="AJ32" s="123"/>
      <c r="AK32" s="121"/>
      <c r="AL32" s="122"/>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row>
    <row r="33" spans="1:70" ht="52.5" customHeight="1" x14ac:dyDescent="0.3">
      <c r="A33" s="212">
        <v>5</v>
      </c>
      <c r="B33" s="219" t="s">
        <v>249</v>
      </c>
      <c r="C33" s="216" t="s">
        <v>216</v>
      </c>
      <c r="D33" s="213" t="s">
        <v>248</v>
      </c>
      <c r="E33" s="208" t="s">
        <v>246</v>
      </c>
      <c r="F33" s="208" t="s">
        <v>246</v>
      </c>
      <c r="G33" s="213" t="s">
        <v>247</v>
      </c>
      <c r="H33" s="209" t="s">
        <v>210</v>
      </c>
      <c r="I33" s="214">
        <v>100</v>
      </c>
      <c r="J33" s="204" t="str">
        <f>IF(I33&lt;=0,"",IF(I33&lt;=2,"Muy Baja",IF(I33&lt;=24,"Baja",IF(I33&lt;=500,"Media",IF(I33&lt;=5000,"Alta","Muy Alta")))))</f>
        <v>Media</v>
      </c>
      <c r="K33" s="205">
        <f>IF(J33="","",IF(J33="Muy Baja",0.2,IF(J33="Baja",0.4,IF(J33="Media",0.6,IF(J33="Alta",0.8,IF(J33="Muy Alta",1,))))))</f>
        <v>0.6</v>
      </c>
      <c r="L33" s="207"/>
      <c r="M33" s="205">
        <f ca="1">IF(NOT(ISERROR(MATCH(L33,'Tabla Impacto'!$B$221:$B$223,0))),'Tabla Impacto'!$F$223&amp;"Por favor no seleccionar los criterios de impacto(Afectación Económica o presupuestal y Pérdida Reputacional)",L33)</f>
        <v>0</v>
      </c>
      <c r="N33" s="204" t="str">
        <f ca="1">IF(OR(M33='Tabla Impacto'!$C$11,M33='Tabla Impacto'!$D$11),"Leve",IF(OR(M33='Tabla Impacto'!$C$12,M33='Tabla Impacto'!$D$12),"Menor",IF(OR(M33='Tabla Impacto'!$C$13,M33='Tabla Impacto'!$D$13),"Moderado",IF(OR(M33='Tabla Impacto'!$C$14,M33='Tabla Impacto'!$D$14),"Mayor",IF(OR(M33='Tabla Impacto'!$C$15,M33='Tabla Impacto'!$D$15),"Catastrófico","")))))</f>
        <v/>
      </c>
      <c r="O33" s="205" t="str">
        <f ca="1">IF(N33="","",IF(N33="Leve",0.2,IF(N33="Menor",0.4,IF(N33="Moderado",0.6,IF(N33="Mayor",0.8,IF(N33="Catastrófico",1,))))))</f>
        <v/>
      </c>
      <c r="P33" s="206" t="str">
        <f ca="1">IF(OR(AND(J33="Muy Baja",N33="Leve"),AND(J33="Muy Baja",N33="Menor"),AND(J33="Baja",N33="Leve")),"Bajo",IF(OR(AND(J33="Muy baja",N33="Moderado"),AND(J33="Baja",N33="Menor"),AND(J33="Baja",N33="Moderado"),AND(J33="Media",N33="Leve"),AND(J33="Media",N33="Menor"),AND(J33="Media",N33="Moderado"),AND(J33="Alta",N33="Leve"),AND(J33="Alta",N33="Menor")),"Moderado",IF(OR(AND(J33="Muy Baja",N33="Mayor"),AND(J33="Baja",N33="Mayor"),AND(J33="Media",N33="Mayor"),AND(J33="Alta",N33="Moderado"),AND(J33="Alta",N33="Mayor"),AND(J33="Muy Alta",N33="Leve"),AND(J33="Muy Alta",N33="Menor"),AND(J33="Muy Alta",N33="Moderado"),AND(J33="Muy Alta",N33="Mayor")),"Alto",IF(OR(AND(J33="Muy Baja",N33="Catastrófico"),AND(J33="Baja",N33="Catastrófico"),AND(J33="Media",N33="Catastrófico"),AND(J33="Alta",N33="Catastrófico"),AND(J33="Muy Alta",N33="Catastrófico")),"Extremo",""))))</f>
        <v/>
      </c>
      <c r="Q33" s="113">
        <v>1</v>
      </c>
      <c r="R33" s="114" t="s">
        <v>220</v>
      </c>
      <c r="S33" s="115" t="str">
        <f>IF(OR(T33="Preventivo",T33="Detectivo"),"Probabilidad",IF(T33="Correctivo","Impacto",""))</f>
        <v>Impacto</v>
      </c>
      <c r="T33" s="116" t="s">
        <v>15</v>
      </c>
      <c r="U33" s="116" t="s">
        <v>8</v>
      </c>
      <c r="V33" s="117" t="str">
        <f>IF(AND(T33="Preventivo",U33="Automático"),"50%",IF(AND(T33="Preventivo",U33="Manual"),"40%",IF(AND(T33="Detectivo",U33="Automático"),"40%",IF(AND(T33="Detectivo",U33="Manual"),"30%",IF(AND(T33="Correctivo",U33="Automático"),"35%",IF(AND(T33="Correctivo",U33="Manual"),"25%",""))))))</f>
        <v>25%</v>
      </c>
      <c r="W33" s="116" t="s">
        <v>18</v>
      </c>
      <c r="X33" s="116" t="s">
        <v>21</v>
      </c>
      <c r="Y33" s="116" t="s">
        <v>116</v>
      </c>
      <c r="Z33" s="118">
        <f>IFERROR(IF(S33="Probabilidad",(K33-(+K33*V33)),IF(S33="Impacto",K33,"")),"")</f>
        <v>0.6</v>
      </c>
      <c r="AA33" s="119" t="str">
        <f>IFERROR(IF(Z33="","",IF(Z33&lt;=0.2,"Muy Baja",IF(Z33&lt;=0.4,"Baja",IF(Z33&lt;=0.6,"Media",IF(Z33&lt;=0.8,"Alta","Muy Alta"))))),"")</f>
        <v>Media</v>
      </c>
      <c r="AB33" s="117">
        <f>+Z33</f>
        <v>0.6</v>
      </c>
      <c r="AC33" s="119" t="str">
        <f ca="1">IFERROR(IF(AD33="","",IF(AD33&lt;=0.2,"Leve",IF(AD33&lt;=0.4,"Menor",IF(AD33&lt;=0.6,"Moderado",IF(AD33&lt;=0.8,"Mayor","Catastrófico"))))),"")</f>
        <v/>
      </c>
      <c r="AD33" s="117" t="str">
        <f ca="1">IFERROR(IF(S33="Impacto",(O33-(+O33*V33)),IF(S33="Probabilidad",O33,"")),"")</f>
        <v/>
      </c>
      <c r="AE33" s="120" t="str">
        <f ca="1">IFERROR(IF(OR(AND(AA33="Muy Baja",AC33="Leve"),AND(AA33="Muy Baja",AC33="Menor"),AND(AA33="Baja",AC33="Leve")),"Bajo",IF(OR(AND(AA33="Muy baja",AC33="Moderado"),AND(AA33="Baja",AC33="Menor"),AND(AA33="Baja",AC33="Moderado"),AND(AA33="Media",AC33="Leve"),AND(AA33="Media",AC33="Menor"),AND(AA33="Media",AC33="Moderado"),AND(AA33="Alta",AC33="Leve"),AND(AA33="Alta",AC33="Menor")),"Moderado",IF(OR(AND(AA33="Muy Baja",AC33="Mayor"),AND(AA33="Baja",AC33="Mayor"),AND(AA33="Media",AC33="Mayor"),AND(AA33="Alta",AC33="Moderado"),AND(AA33="Alta",AC33="Mayor"),AND(AA33="Muy Alta",AC33="Leve"),AND(AA33="Muy Alta",AC33="Menor"),AND(AA33="Muy Alta",AC33="Moderado"),AND(AA33="Muy Alta",AC33="Mayor")),"Alto",IF(OR(AND(AA33="Muy Baja",AC33="Catastrófico"),AND(AA33="Baja",AC33="Catastrófico"),AND(AA33="Media",AC33="Catastrófico"),AND(AA33="Alta",AC33="Catastrófico"),AND(AA33="Muy Alta",AC33="Catastrófico")),"Extremo","")))),"")</f>
        <v/>
      </c>
      <c r="AF33" s="116" t="s">
        <v>130</v>
      </c>
      <c r="AG33" s="158" t="s">
        <v>223</v>
      </c>
      <c r="AH33" s="155" t="s">
        <v>222</v>
      </c>
      <c r="AI33" s="123">
        <v>44423</v>
      </c>
      <c r="AJ33" s="123" t="s">
        <v>211</v>
      </c>
      <c r="AK33" s="156" t="s">
        <v>250</v>
      </c>
      <c r="AL33" s="157" t="s">
        <v>39</v>
      </c>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row>
    <row r="34" spans="1:70" ht="56.25" customHeight="1" x14ac:dyDescent="0.3">
      <c r="A34" s="212"/>
      <c r="B34" s="220"/>
      <c r="C34" s="217"/>
      <c r="D34" s="213"/>
      <c r="E34" s="208"/>
      <c r="F34" s="208"/>
      <c r="G34" s="213"/>
      <c r="H34" s="210"/>
      <c r="I34" s="214"/>
      <c r="J34" s="204"/>
      <c r="K34" s="205"/>
      <c r="L34" s="207"/>
      <c r="M34" s="205">
        <f t="shared" ref="M34:M38" ca="1" si="32">IF(NOT(ISERROR(MATCH(L34,_xlfn.ANCHORARRAY(E45),0))),K47&amp;"Por favor no seleccionar los criterios de impacto",L34)</f>
        <v>0</v>
      </c>
      <c r="N34" s="204"/>
      <c r="O34" s="205"/>
      <c r="P34" s="206"/>
      <c r="Q34" s="113">
        <v>2</v>
      </c>
      <c r="R34" s="114" t="s">
        <v>221</v>
      </c>
      <c r="S34" s="115" t="str">
        <f>IF(OR(T34="Preventivo",T34="Detectivo"),"Probabilidad",IF(T34="Correctivo","Impacto",""))</f>
        <v>Probabilidad</v>
      </c>
      <c r="T34" s="116" t="s">
        <v>13</v>
      </c>
      <c r="U34" s="116" t="s">
        <v>8</v>
      </c>
      <c r="V34" s="117" t="str">
        <f t="shared" ref="V34:V38" si="33">IF(AND(T34="Preventivo",U34="Automático"),"50%",IF(AND(T34="Preventivo",U34="Manual"),"40%",IF(AND(T34="Detectivo",U34="Automático"),"40%",IF(AND(T34="Detectivo",U34="Manual"),"30%",IF(AND(T34="Correctivo",U34="Automático"),"35%",IF(AND(T34="Correctivo",U34="Manual"),"25%",""))))))</f>
        <v>40%</v>
      </c>
      <c r="W34" s="116" t="s">
        <v>19</v>
      </c>
      <c r="X34" s="116" t="s">
        <v>22</v>
      </c>
      <c r="Y34" s="116" t="s">
        <v>116</v>
      </c>
      <c r="Z34" s="118">
        <f>IFERROR(IF(AND(S33="Probabilidad",S34="Probabilidad"),(AB33-(+AB33*V34)),IF(S34="Probabilidad",(K33-(+K33*V34)),IF(S34="Impacto",AB33,""))),"")</f>
        <v>0.36</v>
      </c>
      <c r="AA34" s="119" t="str">
        <f t="shared" si="0"/>
        <v>Baja</v>
      </c>
      <c r="AB34" s="117">
        <f t="shared" ref="AB34:AB38" si="34">+Z34</f>
        <v>0.36</v>
      </c>
      <c r="AC34" s="119" t="str">
        <f ca="1">IFERROR(IF(AD34="","",IF(AD34&lt;=0.2,"Leve",IF(AD34&lt;=0.4,"Menor",IF(AD34&lt;=0.6,"Moderado",IF(AD34&lt;=0.8,"Mayor","Catastrófico"))))),"")</f>
        <v>Mayor</v>
      </c>
      <c r="AD34" s="117">
        <f ca="1">IFERROR(IF(AND(S33="Impacto",S34="Impacto"),(AD27-(+AD27*V34)),IF(S34="Impacto",($O$33-(+$O$33*V34)),IF(S34="Probabilidad",AD27,""))),"")</f>
        <v>0.8</v>
      </c>
      <c r="AE34" s="120" t="str">
        <f ca="1">IFERROR(IF(OR(AND(AA34="Muy Baja",AC34="Leve"),AND(AA34="Muy Baja",AC34="Menor"),AND(AA34="Baja",AC34="Leve")),"Bajo",IF(OR(AND(AA34="Muy baja",AC34="Moderado"),AND(AA34="Baja",AC34="Menor"),AND(AA34="Baja",AC34="Moderado"),AND(AA34="Media",AC34="Leve"),AND(AA34="Media",AC34="Menor"),AND(AA34="Media",AC34="Moderado"),AND(AA34="Alta",AC34="Leve"),AND(AA34="Alta",AC34="Menor")),"Moderado",IF(OR(AND(AA34="Muy Baja",AC34="Mayor"),AND(AA34="Baja",AC34="Mayor"),AND(AA34="Media",AC34="Mayor"),AND(AA34="Alta",AC34="Moderado"),AND(AA34="Alta",AC34="Mayor"),AND(AA34="Muy Alta",AC34="Leve"),AND(AA34="Muy Alta",AC34="Menor"),AND(AA34="Muy Alta",AC34="Moderado"),AND(AA34="Muy Alta",AC34="Mayor")),"Alto",IF(OR(AND(AA34="Muy Baja",AC34="Catastrófico"),AND(AA34="Baja",AC34="Catastrófico"),AND(AA34="Media",AC34="Catastrófico"),AND(AA34="Alta",AC34="Catastrófico"),AND(AA34="Muy Alta",AC34="Catastrófico")),"Extremo","")))),"")</f>
        <v>Alto</v>
      </c>
      <c r="AF34" s="116" t="s">
        <v>130</v>
      </c>
      <c r="AG34" s="158" t="s">
        <v>224</v>
      </c>
      <c r="AH34" s="155" t="s">
        <v>222</v>
      </c>
      <c r="AI34" s="123">
        <v>44423</v>
      </c>
      <c r="AJ34" s="123" t="s">
        <v>211</v>
      </c>
      <c r="AK34" s="156" t="s">
        <v>251</v>
      </c>
      <c r="AL34" s="157" t="s">
        <v>40</v>
      </c>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row>
    <row r="35" spans="1:70" ht="56.25" customHeight="1" x14ac:dyDescent="0.3">
      <c r="A35" s="212"/>
      <c r="B35" s="220"/>
      <c r="C35" s="217"/>
      <c r="D35" s="213"/>
      <c r="E35" s="208"/>
      <c r="F35" s="208"/>
      <c r="G35" s="213"/>
      <c r="H35" s="210"/>
      <c r="I35" s="214"/>
      <c r="J35" s="204"/>
      <c r="K35" s="205"/>
      <c r="L35" s="207"/>
      <c r="M35" s="205">
        <f t="shared" ca="1" si="32"/>
        <v>0</v>
      </c>
      <c r="N35" s="204"/>
      <c r="O35" s="205"/>
      <c r="P35" s="206"/>
      <c r="Q35" s="113">
        <v>3</v>
      </c>
      <c r="R35" s="126"/>
      <c r="S35" s="115" t="str">
        <f>IF(OR(T35="Preventivo",T35="Detectivo"),"Probabilidad",IF(T35="Correctivo","Impacto",""))</f>
        <v/>
      </c>
      <c r="T35" s="116"/>
      <c r="U35" s="116"/>
      <c r="V35" s="117" t="str">
        <f t="shared" si="33"/>
        <v/>
      </c>
      <c r="W35" s="116"/>
      <c r="X35" s="116"/>
      <c r="Y35" s="116"/>
      <c r="Z35" s="118" t="str">
        <f>IFERROR(IF(AND(S34="Probabilidad",S35="Probabilidad"),(AB34-(+AB34*V35)),IF(AND(S34="Impacto",S35="Probabilidad"),(AB33-(+AB33*V35)),IF(S35="Impacto",AB34,""))),"")</f>
        <v/>
      </c>
      <c r="AA35" s="119" t="str">
        <f t="shared" si="0"/>
        <v/>
      </c>
      <c r="AB35" s="117" t="str">
        <f t="shared" si="34"/>
        <v/>
      </c>
      <c r="AC35" s="119" t="str">
        <f t="shared" si="2"/>
        <v/>
      </c>
      <c r="AD35" s="117" t="str">
        <f>IFERROR(IF(AND(S34="Impacto",S35="Impacto"),(AD34-(+AD34*V35)),IF(AND(S34="Probabilidad",S35="Impacto"),(AD33-(+AD33*V35)),IF(S35="Probabilidad",AD34,""))),"")</f>
        <v/>
      </c>
      <c r="AE35" s="120" t="str">
        <f t="shared" ref="AE35" si="35">IFERROR(IF(OR(AND(AA35="Muy Baja",AC35="Leve"),AND(AA35="Muy Baja",AC35="Menor"),AND(AA35="Baja",AC35="Leve")),"Bajo",IF(OR(AND(AA35="Muy baja",AC35="Moderado"),AND(AA35="Baja",AC35="Menor"),AND(AA35="Baja",AC35="Moderado"),AND(AA35="Media",AC35="Leve"),AND(AA35="Media",AC35="Menor"),AND(AA35="Media",AC35="Moderado"),AND(AA35="Alta",AC35="Leve"),AND(AA35="Alta",AC35="Menor")),"Moderado",IF(OR(AND(AA35="Muy Baja",AC35="Mayor"),AND(AA35="Baja",AC35="Mayor"),AND(AA35="Media",AC35="Mayor"),AND(AA35="Alta",AC35="Moderado"),AND(AA35="Alta",AC35="Mayor"),AND(AA35="Muy Alta",AC35="Leve"),AND(AA35="Muy Alta",AC35="Menor"),AND(AA35="Muy Alta",AC35="Moderado"),AND(AA35="Muy Alta",AC35="Mayor")),"Alto",IF(OR(AND(AA35="Muy Baja",AC35="Catastrófico"),AND(AA35="Baja",AC35="Catastrófico"),AND(AA35="Media",AC35="Catastrófico"),AND(AA35="Alta",AC35="Catastrófico"),AND(AA35="Muy Alta",AC35="Catastrófico")),"Extremo","")))),"")</f>
        <v/>
      </c>
      <c r="AF35" s="116"/>
      <c r="AG35" s="121"/>
      <c r="AH35" s="122"/>
      <c r="AI35" s="123"/>
      <c r="AJ35" s="123"/>
      <c r="AK35" s="121"/>
      <c r="AL35" s="122"/>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row>
    <row r="36" spans="1:70" x14ac:dyDescent="0.3">
      <c r="A36" s="212"/>
      <c r="B36" s="220"/>
      <c r="C36" s="217"/>
      <c r="D36" s="213"/>
      <c r="E36" s="208"/>
      <c r="F36" s="208"/>
      <c r="G36" s="213"/>
      <c r="H36" s="210"/>
      <c r="I36" s="214"/>
      <c r="J36" s="204"/>
      <c r="K36" s="205"/>
      <c r="L36" s="207"/>
      <c r="M36" s="205">
        <f t="shared" ca="1" si="32"/>
        <v>0</v>
      </c>
      <c r="N36" s="204"/>
      <c r="O36" s="205"/>
      <c r="P36" s="206"/>
      <c r="Q36" s="113">
        <v>4</v>
      </c>
      <c r="R36" s="114"/>
      <c r="S36" s="115" t="str">
        <f t="shared" ref="S36:S38" si="36">IF(OR(T36="Preventivo",T36="Detectivo"),"Probabilidad",IF(T36="Correctivo","Impacto",""))</f>
        <v/>
      </c>
      <c r="T36" s="116"/>
      <c r="U36" s="116"/>
      <c r="V36" s="117" t="str">
        <f t="shared" si="33"/>
        <v/>
      </c>
      <c r="W36" s="116"/>
      <c r="X36" s="116"/>
      <c r="Y36" s="116"/>
      <c r="Z36" s="118" t="str">
        <f t="shared" ref="Z36:Z38" si="37">IFERROR(IF(AND(S35="Probabilidad",S36="Probabilidad"),(AB35-(+AB35*V36)),IF(AND(S35="Impacto",S36="Probabilidad"),(AB34-(+AB34*V36)),IF(S36="Impacto",AB35,""))),"")</f>
        <v/>
      </c>
      <c r="AA36" s="119" t="str">
        <f t="shared" si="0"/>
        <v/>
      </c>
      <c r="AB36" s="117" t="str">
        <f t="shared" si="34"/>
        <v/>
      </c>
      <c r="AC36" s="119" t="str">
        <f t="shared" si="2"/>
        <v/>
      </c>
      <c r="AD36" s="117" t="str">
        <f>IFERROR(IF(AND(S35="Impacto",S36="Impacto"),(AD35-(+AD35*V36)),IF(AND(S35="Probabilidad",S36="Impacto"),(AD34-(+AD34*V36)),IF(S36="Probabilidad",AD35,""))),"")</f>
        <v/>
      </c>
      <c r="AE36" s="120" t="str">
        <f>IFERROR(IF(OR(AND(AA36="Muy Baja",AC36="Leve"),AND(AA36="Muy Baja",AC36="Menor"),AND(AA36="Baja",AC36="Leve")),"Bajo",IF(OR(AND(AA36="Muy baja",AC36="Moderado"),AND(AA36="Baja",AC36="Menor"),AND(AA36="Baja",AC36="Moderado"),AND(AA36="Media",AC36="Leve"),AND(AA36="Media",AC36="Menor"),AND(AA36="Media",AC36="Moderado"),AND(AA36="Alta",AC36="Leve"),AND(AA36="Alta",AC36="Menor")),"Moderado",IF(OR(AND(AA36="Muy Baja",AC36="Mayor"),AND(AA36="Baja",AC36="Mayor"),AND(AA36="Media",AC36="Mayor"),AND(AA36="Alta",AC36="Moderado"),AND(AA36="Alta",AC36="Mayor"),AND(AA36="Muy Alta",AC36="Leve"),AND(AA36="Muy Alta",AC36="Menor"),AND(AA36="Muy Alta",AC36="Moderado"),AND(AA36="Muy Alta",AC36="Mayor")),"Alto",IF(OR(AND(AA36="Muy Baja",AC36="Catastrófico"),AND(AA36="Baja",AC36="Catastrófico"),AND(AA36="Media",AC36="Catastrófico"),AND(AA36="Alta",AC36="Catastrófico"),AND(AA36="Muy Alta",AC36="Catastrófico")),"Extremo","")))),"")</f>
        <v/>
      </c>
      <c r="AF36" s="116"/>
      <c r="AG36" s="121"/>
      <c r="AH36" s="122"/>
      <c r="AI36" s="123"/>
      <c r="AJ36" s="123"/>
      <c r="AK36" s="121"/>
      <c r="AL36" s="122"/>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row>
    <row r="37" spans="1:70" ht="41.25" customHeight="1" x14ac:dyDescent="0.3">
      <c r="A37" s="212"/>
      <c r="B37" s="220"/>
      <c r="C37" s="217"/>
      <c r="D37" s="213"/>
      <c r="E37" s="208"/>
      <c r="F37" s="208"/>
      <c r="G37" s="213"/>
      <c r="H37" s="210"/>
      <c r="I37" s="214"/>
      <c r="J37" s="204"/>
      <c r="K37" s="205"/>
      <c r="L37" s="207"/>
      <c r="M37" s="205">
        <f t="shared" ca="1" si="32"/>
        <v>0</v>
      </c>
      <c r="N37" s="204"/>
      <c r="O37" s="205"/>
      <c r="P37" s="206"/>
      <c r="Q37" s="113">
        <v>5</v>
      </c>
      <c r="R37" s="114"/>
      <c r="S37" s="115" t="str">
        <f t="shared" si="36"/>
        <v/>
      </c>
      <c r="T37" s="116"/>
      <c r="U37" s="116"/>
      <c r="V37" s="117" t="str">
        <f t="shared" si="33"/>
        <v/>
      </c>
      <c r="W37" s="116"/>
      <c r="X37" s="116"/>
      <c r="Y37" s="116"/>
      <c r="Z37" s="118" t="str">
        <f t="shared" si="37"/>
        <v/>
      </c>
      <c r="AA37" s="119" t="str">
        <f t="shared" si="0"/>
        <v/>
      </c>
      <c r="AB37" s="117" t="str">
        <f t="shared" si="34"/>
        <v/>
      </c>
      <c r="AC37" s="119" t="str">
        <f t="shared" si="2"/>
        <v/>
      </c>
      <c r="AD37" s="117" t="str">
        <f t="shared" ref="AD37:AD38" si="38">IFERROR(IF(AND(S36="Impacto",S37="Impacto"),(AD36-(+AD36*V37)),IF(AND(S36="Probabilidad",S37="Impacto"),(AD35-(+AD35*V37)),IF(S37="Probabilidad",AD36,""))),"")</f>
        <v/>
      </c>
      <c r="AE37" s="120" t="str">
        <f t="shared" ref="AE37:AE38" si="39">IFERROR(IF(OR(AND(AA37="Muy Baja",AC37="Leve"),AND(AA37="Muy Baja",AC37="Menor"),AND(AA37="Baja",AC37="Leve")),"Bajo",IF(OR(AND(AA37="Muy baja",AC37="Moderado"),AND(AA37="Baja",AC37="Menor"),AND(AA37="Baja",AC37="Moderado"),AND(AA37="Media",AC37="Leve"),AND(AA37="Media",AC37="Menor"),AND(AA37="Media",AC37="Moderado"),AND(AA37="Alta",AC37="Leve"),AND(AA37="Alta",AC37="Menor")),"Moderado",IF(OR(AND(AA37="Muy Baja",AC37="Mayor"),AND(AA37="Baja",AC37="Mayor"),AND(AA37="Media",AC37="Mayor"),AND(AA37="Alta",AC37="Moderado"),AND(AA37="Alta",AC37="Mayor"),AND(AA37="Muy Alta",AC37="Leve"),AND(AA37="Muy Alta",AC37="Menor"),AND(AA37="Muy Alta",AC37="Moderado"),AND(AA37="Muy Alta",AC37="Mayor")),"Alto",IF(OR(AND(AA37="Muy Baja",AC37="Catastrófico"),AND(AA37="Baja",AC37="Catastrófico"),AND(AA37="Media",AC37="Catastrófico"),AND(AA37="Alta",AC37="Catastrófico"),AND(AA37="Muy Alta",AC37="Catastrófico")),"Extremo","")))),"")</f>
        <v/>
      </c>
      <c r="AF37" s="116"/>
      <c r="AG37" s="121"/>
      <c r="AH37" s="122"/>
      <c r="AI37" s="123"/>
      <c r="AJ37" s="123"/>
      <c r="AK37" s="121"/>
      <c r="AL37" s="122"/>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row>
    <row r="38" spans="1:70" ht="84" customHeight="1" x14ac:dyDescent="0.3">
      <c r="A38" s="212"/>
      <c r="B38" s="221"/>
      <c r="C38" s="218"/>
      <c r="D38" s="213"/>
      <c r="E38" s="208"/>
      <c r="F38" s="208"/>
      <c r="G38" s="213"/>
      <c r="H38" s="211"/>
      <c r="I38" s="214"/>
      <c r="J38" s="204"/>
      <c r="K38" s="205"/>
      <c r="L38" s="207"/>
      <c r="M38" s="205">
        <f t="shared" ca="1" si="32"/>
        <v>0</v>
      </c>
      <c r="N38" s="204"/>
      <c r="O38" s="205"/>
      <c r="P38" s="206"/>
      <c r="Q38" s="113">
        <v>6</v>
      </c>
      <c r="R38" s="114"/>
      <c r="S38" s="115" t="str">
        <f t="shared" si="36"/>
        <v/>
      </c>
      <c r="T38" s="116"/>
      <c r="U38" s="116"/>
      <c r="V38" s="117" t="str">
        <f t="shared" si="33"/>
        <v/>
      </c>
      <c r="W38" s="116"/>
      <c r="X38" s="116"/>
      <c r="Y38" s="116"/>
      <c r="Z38" s="118" t="str">
        <f t="shared" si="37"/>
        <v/>
      </c>
      <c r="AA38" s="119" t="str">
        <f t="shared" si="0"/>
        <v/>
      </c>
      <c r="AB38" s="117" t="str">
        <f t="shared" si="34"/>
        <v/>
      </c>
      <c r="AC38" s="119" t="str">
        <f t="shared" si="2"/>
        <v/>
      </c>
      <c r="AD38" s="117" t="str">
        <f t="shared" si="38"/>
        <v/>
      </c>
      <c r="AE38" s="120" t="str">
        <f t="shared" si="39"/>
        <v/>
      </c>
      <c r="AF38" s="116"/>
      <c r="AG38" s="121"/>
      <c r="AH38" s="122"/>
      <c r="AI38" s="123"/>
      <c r="AJ38" s="123"/>
      <c r="AK38" s="121"/>
      <c r="AL38" s="122"/>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row>
    <row r="39" spans="1:70" x14ac:dyDescent="0.3">
      <c r="A39" s="212">
        <v>6</v>
      </c>
      <c r="B39" s="139"/>
      <c r="C39" s="139"/>
      <c r="D39" s="213"/>
      <c r="E39" s="208"/>
      <c r="F39" s="141"/>
      <c r="G39" s="213"/>
      <c r="H39" s="140"/>
      <c r="I39" s="214"/>
      <c r="J39" s="204" t="str">
        <f>IF(I39&lt;=0,"",IF(I39&lt;=2,"Muy Baja",IF(I39&lt;=24,"Baja",IF(I39&lt;=500,"Media",IF(I39&lt;=5000,"Alta","Muy Alta")))))</f>
        <v/>
      </c>
      <c r="K39" s="205" t="str">
        <f>IF(J39="","",IF(J39="Muy Baja",0.2,IF(J39="Baja",0.4,IF(J39="Media",0.6,IF(J39="Alta",0.8,IF(J39="Muy Alta",1,))))))</f>
        <v/>
      </c>
      <c r="L39" s="207"/>
      <c r="M39" s="205">
        <f ca="1">IF(NOT(ISERROR(MATCH(L39,'Tabla Impacto'!$B$221:$B$223,0))),'Tabla Impacto'!$F$223&amp;"Por favor no seleccionar los criterios de impacto(Afectación Económica o presupuestal y Pérdida Reputacional)",L39)</f>
        <v>0</v>
      </c>
      <c r="N39" s="204" t="str">
        <f ca="1">IF(OR(M39='Tabla Impacto'!$C$11,M39='Tabla Impacto'!$D$11),"Leve",IF(OR(M39='Tabla Impacto'!$C$12,M39='Tabla Impacto'!$D$12),"Menor",IF(OR(M39='Tabla Impacto'!$C$13,M39='Tabla Impacto'!$D$13),"Moderado",IF(OR(M39='Tabla Impacto'!$C$14,M39='Tabla Impacto'!$D$14),"Mayor",IF(OR(M39='Tabla Impacto'!$C$15,M39='Tabla Impacto'!$D$15),"Catastrófico","")))))</f>
        <v/>
      </c>
      <c r="O39" s="205" t="str">
        <f ca="1">IF(N39="","",IF(N39="Leve",0.2,IF(N39="Menor",0.4,IF(N39="Moderado",0.6,IF(N39="Mayor",0.8,IF(N39="Catastrófico",1,))))))</f>
        <v/>
      </c>
      <c r="P39" s="206" t="str">
        <f ca="1">IF(OR(AND(J39="Muy Baja",N39="Leve"),AND(J39="Muy Baja",N39="Menor"),AND(J39="Baja",N39="Leve")),"Bajo",IF(OR(AND(J39="Muy baja",N39="Moderado"),AND(J39="Baja",N39="Menor"),AND(J39="Baja",N39="Moderado"),AND(J39="Media",N39="Leve"),AND(J39="Media",N39="Menor"),AND(J39="Media",N39="Moderado"),AND(J39="Alta",N39="Leve"),AND(J39="Alta",N39="Menor")),"Moderado",IF(OR(AND(J39="Muy Baja",N39="Mayor"),AND(J39="Baja",N39="Mayor"),AND(J39="Media",N39="Mayor"),AND(J39="Alta",N39="Moderado"),AND(J39="Alta",N39="Mayor"),AND(J39="Muy Alta",N39="Leve"),AND(J39="Muy Alta",N39="Menor"),AND(J39="Muy Alta",N39="Moderado"),AND(J39="Muy Alta",N39="Mayor")),"Alto",IF(OR(AND(J39="Muy Baja",N39="Catastrófico"),AND(J39="Baja",N39="Catastrófico"),AND(J39="Media",N39="Catastrófico"),AND(J39="Alta",N39="Catastrófico"),AND(J39="Muy Alta",N39="Catastrófico")),"Extremo",""))))</f>
        <v/>
      </c>
      <c r="Q39" s="113">
        <v>1</v>
      </c>
      <c r="R39" s="114"/>
      <c r="S39" s="115" t="str">
        <f>IF(OR(T39="Preventivo",T39="Detectivo"),"Probabilidad",IF(T39="Correctivo","Impacto",""))</f>
        <v/>
      </c>
      <c r="T39" s="116"/>
      <c r="U39" s="116"/>
      <c r="V39" s="117" t="str">
        <f>IF(AND(T39="Preventivo",U39="Automático"),"50%",IF(AND(T39="Preventivo",U39="Manual"),"40%",IF(AND(T39="Detectivo",U39="Automático"),"40%",IF(AND(T39="Detectivo",U39="Manual"),"30%",IF(AND(T39="Correctivo",U39="Automático"),"35%",IF(AND(T39="Correctivo",U39="Manual"),"25%",""))))))</f>
        <v/>
      </c>
      <c r="W39" s="116"/>
      <c r="X39" s="116"/>
      <c r="Y39" s="116"/>
      <c r="Z39" s="118" t="str">
        <f>IFERROR(IF(S39="Probabilidad",(K39-(+K39*V39)),IF(S39="Impacto",K39,"")),"")</f>
        <v/>
      </c>
      <c r="AA39" s="119" t="str">
        <f>IFERROR(IF(Z39="","",IF(Z39&lt;=0.2,"Muy Baja",IF(Z39&lt;=0.4,"Baja",IF(Z39&lt;=0.6,"Media",IF(Z39&lt;=0.8,"Alta","Muy Alta"))))),"")</f>
        <v/>
      </c>
      <c r="AB39" s="117" t="str">
        <f>+Z39</f>
        <v/>
      </c>
      <c r="AC39" s="119" t="str">
        <f>IFERROR(IF(AD39="","",IF(AD39&lt;=0.2,"Leve",IF(AD39&lt;=0.4,"Menor",IF(AD39&lt;=0.6,"Moderado",IF(AD39&lt;=0.8,"Mayor","Catastrófico"))))),"")</f>
        <v/>
      </c>
      <c r="AD39" s="117" t="str">
        <f>IFERROR(IF(S39="Impacto",(O39-(+O39*V39)),IF(S39="Probabilidad",O39,"")),"")</f>
        <v/>
      </c>
      <c r="AE39" s="120" t="str">
        <f>IFERROR(IF(OR(AND(AA39="Muy Baja",AC39="Leve"),AND(AA39="Muy Baja",AC39="Menor"),AND(AA39="Baja",AC39="Leve")),"Bajo",IF(OR(AND(AA39="Muy baja",AC39="Moderado"),AND(AA39="Baja",AC39="Menor"),AND(AA39="Baja",AC39="Moderado"),AND(AA39="Media",AC39="Leve"),AND(AA39="Media",AC39="Menor"),AND(AA39="Media",AC39="Moderado"),AND(AA39="Alta",AC39="Leve"),AND(AA39="Alta",AC39="Menor")),"Moderado",IF(OR(AND(AA39="Muy Baja",AC39="Mayor"),AND(AA39="Baja",AC39="Mayor"),AND(AA39="Media",AC39="Mayor"),AND(AA39="Alta",AC39="Moderado"),AND(AA39="Alta",AC39="Mayor"),AND(AA39="Muy Alta",AC39="Leve"),AND(AA39="Muy Alta",AC39="Menor"),AND(AA39="Muy Alta",AC39="Moderado"),AND(AA39="Muy Alta",AC39="Mayor")),"Alto",IF(OR(AND(AA39="Muy Baja",AC39="Catastrófico"),AND(AA39="Baja",AC39="Catastrófico"),AND(AA39="Media",AC39="Catastrófico"),AND(AA39="Alta",AC39="Catastrófico"),AND(AA39="Muy Alta",AC39="Catastrófico")),"Extremo","")))),"")</f>
        <v/>
      </c>
      <c r="AF39" s="116"/>
      <c r="AG39" s="121"/>
      <c r="AH39" s="122"/>
      <c r="AI39" s="123"/>
      <c r="AJ39" s="123"/>
      <c r="AK39" s="121"/>
      <c r="AL39" s="122"/>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row>
    <row r="40" spans="1:70" x14ac:dyDescent="0.3">
      <c r="A40" s="212"/>
      <c r="B40" s="139"/>
      <c r="C40" s="139"/>
      <c r="D40" s="213"/>
      <c r="E40" s="208"/>
      <c r="F40" s="141"/>
      <c r="G40" s="213"/>
      <c r="H40" s="140"/>
      <c r="I40" s="214"/>
      <c r="J40" s="204"/>
      <c r="K40" s="205"/>
      <c r="L40" s="207"/>
      <c r="M40" s="205">
        <f t="shared" ref="M40:M44" ca="1" si="40">IF(NOT(ISERROR(MATCH(L40,_xlfn.ANCHORARRAY(E51),0))),K53&amp;"Por favor no seleccionar los criterios de impacto",L40)</f>
        <v>0</v>
      </c>
      <c r="N40" s="204"/>
      <c r="O40" s="205"/>
      <c r="P40" s="206"/>
      <c r="Q40" s="113">
        <v>2</v>
      </c>
      <c r="R40" s="114"/>
      <c r="S40" s="115" t="str">
        <f>IF(OR(T40="Preventivo",T40="Detectivo"),"Probabilidad",IF(T40="Correctivo","Impacto",""))</f>
        <v/>
      </c>
      <c r="T40" s="116"/>
      <c r="U40" s="116"/>
      <c r="V40" s="117" t="str">
        <f t="shared" ref="V40:V44" si="41">IF(AND(T40="Preventivo",U40="Automático"),"50%",IF(AND(T40="Preventivo",U40="Manual"),"40%",IF(AND(T40="Detectivo",U40="Automático"),"40%",IF(AND(T40="Detectivo",U40="Manual"),"30%",IF(AND(T40="Correctivo",U40="Automático"),"35%",IF(AND(T40="Correctivo",U40="Manual"),"25%",""))))))</f>
        <v/>
      </c>
      <c r="W40" s="116"/>
      <c r="X40" s="116"/>
      <c r="Y40" s="116"/>
      <c r="Z40" s="118" t="str">
        <f>IFERROR(IF(AND(S39="Probabilidad",S40="Probabilidad"),(AB39-(+AB39*V40)),IF(S40="Probabilidad",(K39-(+K39*V40)),IF(S40="Impacto",AB39,""))),"")</f>
        <v/>
      </c>
      <c r="AA40" s="119" t="str">
        <f t="shared" si="0"/>
        <v/>
      </c>
      <c r="AB40" s="117" t="str">
        <f t="shared" ref="AB40:AB44" si="42">+Z40</f>
        <v/>
      </c>
      <c r="AC40" s="119" t="str">
        <f t="shared" si="2"/>
        <v/>
      </c>
      <c r="AD40" s="117" t="str">
        <f>IFERROR(IF(AND(S39="Impacto",S40="Impacto"),(AD33-(+AD33*V40)),IF(S40="Impacto",($O$39-(+$O$39*V40)),IF(S40="Probabilidad",AD33,""))),"")</f>
        <v/>
      </c>
      <c r="AE40" s="120" t="str">
        <f t="shared" ref="AE40:AE41" si="43">IFERROR(IF(OR(AND(AA40="Muy Baja",AC40="Leve"),AND(AA40="Muy Baja",AC40="Menor"),AND(AA40="Baja",AC40="Leve")),"Bajo",IF(OR(AND(AA40="Muy baja",AC40="Moderado"),AND(AA40="Baja",AC40="Menor"),AND(AA40="Baja",AC40="Moderado"),AND(AA40="Media",AC40="Leve"),AND(AA40="Media",AC40="Menor"),AND(AA40="Media",AC40="Moderado"),AND(AA40="Alta",AC40="Leve"),AND(AA40="Alta",AC40="Menor")),"Moderado",IF(OR(AND(AA40="Muy Baja",AC40="Mayor"),AND(AA40="Baja",AC40="Mayor"),AND(AA40="Media",AC40="Mayor"),AND(AA40="Alta",AC40="Moderado"),AND(AA40="Alta",AC40="Mayor"),AND(AA40="Muy Alta",AC40="Leve"),AND(AA40="Muy Alta",AC40="Menor"),AND(AA40="Muy Alta",AC40="Moderado"),AND(AA40="Muy Alta",AC40="Mayor")),"Alto",IF(OR(AND(AA40="Muy Baja",AC40="Catastrófico"),AND(AA40="Baja",AC40="Catastrófico"),AND(AA40="Media",AC40="Catastrófico"),AND(AA40="Alta",AC40="Catastrófico"),AND(AA40="Muy Alta",AC40="Catastrófico")),"Extremo","")))),"")</f>
        <v/>
      </c>
      <c r="AF40" s="116"/>
      <c r="AG40" s="121"/>
      <c r="AH40" s="122"/>
      <c r="AI40" s="123"/>
      <c r="AJ40" s="123"/>
      <c r="AK40" s="121"/>
      <c r="AL40" s="122"/>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row>
    <row r="41" spans="1:70" x14ac:dyDescent="0.3">
      <c r="A41" s="212"/>
      <c r="B41" s="139"/>
      <c r="C41" s="139"/>
      <c r="D41" s="213"/>
      <c r="E41" s="208"/>
      <c r="F41" s="141"/>
      <c r="G41" s="213"/>
      <c r="H41" s="140"/>
      <c r="I41" s="214"/>
      <c r="J41" s="204"/>
      <c r="K41" s="205"/>
      <c r="L41" s="207"/>
      <c r="M41" s="205">
        <f t="shared" ca="1" si="40"/>
        <v>0</v>
      </c>
      <c r="N41" s="204"/>
      <c r="O41" s="205"/>
      <c r="P41" s="206"/>
      <c r="Q41" s="113">
        <v>3</v>
      </c>
      <c r="R41" s="126"/>
      <c r="S41" s="115" t="str">
        <f>IF(OR(T41="Preventivo",T41="Detectivo"),"Probabilidad",IF(T41="Correctivo","Impacto",""))</f>
        <v/>
      </c>
      <c r="T41" s="116"/>
      <c r="U41" s="116"/>
      <c r="V41" s="117" t="str">
        <f t="shared" si="41"/>
        <v/>
      </c>
      <c r="W41" s="116"/>
      <c r="X41" s="116"/>
      <c r="Y41" s="116"/>
      <c r="Z41" s="118" t="str">
        <f>IFERROR(IF(AND(S40="Probabilidad",S41="Probabilidad"),(AB40-(+AB40*V41)),IF(AND(S40="Impacto",S41="Probabilidad"),(AB39-(+AB39*V41)),IF(S41="Impacto",AB40,""))),"")</f>
        <v/>
      </c>
      <c r="AA41" s="119" t="str">
        <f t="shared" si="0"/>
        <v/>
      </c>
      <c r="AB41" s="117" t="str">
        <f t="shared" si="42"/>
        <v/>
      </c>
      <c r="AC41" s="119" t="str">
        <f t="shared" si="2"/>
        <v/>
      </c>
      <c r="AD41" s="117" t="str">
        <f>IFERROR(IF(AND(S40="Impacto",S41="Impacto"),(AD40-(+AD40*V41)),IF(AND(S40="Probabilidad",S41="Impacto"),(AD39-(+AD39*V41)),IF(S41="Probabilidad",AD40,""))),"")</f>
        <v/>
      </c>
      <c r="AE41" s="120" t="str">
        <f t="shared" si="43"/>
        <v/>
      </c>
      <c r="AF41" s="116"/>
      <c r="AG41" s="121"/>
      <c r="AH41" s="122"/>
      <c r="AI41" s="123"/>
      <c r="AJ41" s="123"/>
      <c r="AK41" s="121"/>
      <c r="AL41" s="122"/>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row>
    <row r="42" spans="1:70" x14ac:dyDescent="0.3">
      <c r="A42" s="212"/>
      <c r="B42" s="139"/>
      <c r="C42" s="139"/>
      <c r="D42" s="213"/>
      <c r="E42" s="208"/>
      <c r="F42" s="141"/>
      <c r="G42" s="213"/>
      <c r="H42" s="140"/>
      <c r="I42" s="214"/>
      <c r="J42" s="204"/>
      <c r="K42" s="205"/>
      <c r="L42" s="207"/>
      <c r="M42" s="205">
        <f t="shared" ca="1" si="40"/>
        <v>0</v>
      </c>
      <c r="N42" s="204"/>
      <c r="O42" s="205"/>
      <c r="P42" s="206"/>
      <c r="Q42" s="113">
        <v>4</v>
      </c>
      <c r="R42" s="114"/>
      <c r="S42" s="115" t="str">
        <f t="shared" ref="S42:S44" si="44">IF(OR(T42="Preventivo",T42="Detectivo"),"Probabilidad",IF(T42="Correctivo","Impacto",""))</f>
        <v/>
      </c>
      <c r="T42" s="116"/>
      <c r="U42" s="116"/>
      <c r="V42" s="117" t="str">
        <f t="shared" si="41"/>
        <v/>
      </c>
      <c r="W42" s="116"/>
      <c r="X42" s="116"/>
      <c r="Y42" s="116"/>
      <c r="Z42" s="118" t="str">
        <f t="shared" ref="Z42:Z44" si="45">IFERROR(IF(AND(S41="Probabilidad",S42="Probabilidad"),(AB41-(+AB41*V42)),IF(AND(S41="Impacto",S42="Probabilidad"),(AB40-(+AB40*V42)),IF(S42="Impacto",AB41,""))),"")</f>
        <v/>
      </c>
      <c r="AA42" s="119" t="str">
        <f t="shared" si="0"/>
        <v/>
      </c>
      <c r="AB42" s="117" t="str">
        <f t="shared" si="42"/>
        <v/>
      </c>
      <c r="AC42" s="119" t="str">
        <f t="shared" si="2"/>
        <v/>
      </c>
      <c r="AD42" s="117" t="str">
        <f t="shared" ref="AD42:AD44" si="46">IFERROR(IF(AND(S41="Impacto",S42="Impacto"),(AD41-(+AD41*V42)),IF(AND(S41="Probabilidad",S42="Impacto"),(AD40-(+AD40*V42)),IF(S42="Probabilidad",AD41,""))),"")</f>
        <v/>
      </c>
      <c r="AE42" s="120" t="str">
        <f>IFERROR(IF(OR(AND(AA42="Muy Baja",AC42="Leve"),AND(AA42="Muy Baja",AC42="Menor"),AND(AA42="Baja",AC42="Leve")),"Bajo",IF(OR(AND(AA42="Muy baja",AC42="Moderado"),AND(AA42="Baja",AC42="Menor"),AND(AA42="Baja",AC42="Moderado"),AND(AA42="Media",AC42="Leve"),AND(AA42="Media",AC42="Menor"),AND(AA42="Media",AC42="Moderado"),AND(AA42="Alta",AC42="Leve"),AND(AA42="Alta",AC42="Menor")),"Moderado",IF(OR(AND(AA42="Muy Baja",AC42="Mayor"),AND(AA42="Baja",AC42="Mayor"),AND(AA42="Media",AC42="Mayor"),AND(AA42="Alta",AC42="Moderado"),AND(AA42="Alta",AC42="Mayor"),AND(AA42="Muy Alta",AC42="Leve"),AND(AA42="Muy Alta",AC42="Menor"),AND(AA42="Muy Alta",AC42="Moderado"),AND(AA42="Muy Alta",AC42="Mayor")),"Alto",IF(OR(AND(AA42="Muy Baja",AC42="Catastrófico"),AND(AA42="Baja",AC42="Catastrófico"),AND(AA42="Media",AC42="Catastrófico"),AND(AA42="Alta",AC42="Catastrófico"),AND(AA42="Muy Alta",AC42="Catastrófico")),"Extremo","")))),"")</f>
        <v/>
      </c>
      <c r="AF42" s="116"/>
      <c r="AG42" s="121"/>
      <c r="AH42" s="122"/>
      <c r="AI42" s="123"/>
      <c r="AJ42" s="123"/>
      <c r="AK42" s="121"/>
      <c r="AL42" s="122"/>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row>
    <row r="43" spans="1:70" x14ac:dyDescent="0.3">
      <c r="A43" s="212"/>
      <c r="B43" s="139"/>
      <c r="C43" s="139"/>
      <c r="D43" s="213"/>
      <c r="E43" s="208"/>
      <c r="F43" s="141"/>
      <c r="G43" s="213"/>
      <c r="H43" s="140"/>
      <c r="I43" s="214"/>
      <c r="J43" s="204"/>
      <c r="K43" s="205"/>
      <c r="L43" s="207"/>
      <c r="M43" s="205">
        <f t="shared" ca="1" si="40"/>
        <v>0</v>
      </c>
      <c r="N43" s="204"/>
      <c r="O43" s="205"/>
      <c r="P43" s="206"/>
      <c r="Q43" s="113">
        <v>5</v>
      </c>
      <c r="R43" s="114"/>
      <c r="S43" s="115" t="str">
        <f t="shared" si="44"/>
        <v/>
      </c>
      <c r="T43" s="116"/>
      <c r="U43" s="116"/>
      <c r="V43" s="117" t="str">
        <f t="shared" si="41"/>
        <v/>
      </c>
      <c r="W43" s="116"/>
      <c r="X43" s="116"/>
      <c r="Y43" s="116"/>
      <c r="Z43" s="118" t="str">
        <f t="shared" si="45"/>
        <v/>
      </c>
      <c r="AA43" s="119" t="str">
        <f t="shared" si="0"/>
        <v/>
      </c>
      <c r="AB43" s="117" t="str">
        <f t="shared" si="42"/>
        <v/>
      </c>
      <c r="AC43" s="119" t="str">
        <f t="shared" si="2"/>
        <v/>
      </c>
      <c r="AD43" s="117" t="str">
        <f t="shared" si="46"/>
        <v/>
      </c>
      <c r="AE43" s="120" t="str">
        <f t="shared" ref="AE43" si="47">IFERROR(IF(OR(AND(AA43="Muy Baja",AC43="Leve"),AND(AA43="Muy Baja",AC43="Menor"),AND(AA43="Baja",AC43="Leve")),"Bajo",IF(OR(AND(AA43="Muy baja",AC43="Moderado"),AND(AA43="Baja",AC43="Menor"),AND(AA43="Baja",AC43="Moderado"),AND(AA43="Media",AC43="Leve"),AND(AA43="Media",AC43="Menor"),AND(AA43="Media",AC43="Moderado"),AND(AA43="Alta",AC43="Leve"),AND(AA43="Alta",AC43="Menor")),"Moderado",IF(OR(AND(AA43="Muy Baja",AC43="Mayor"),AND(AA43="Baja",AC43="Mayor"),AND(AA43="Media",AC43="Mayor"),AND(AA43="Alta",AC43="Moderado"),AND(AA43="Alta",AC43="Mayor"),AND(AA43="Muy Alta",AC43="Leve"),AND(AA43="Muy Alta",AC43="Menor"),AND(AA43="Muy Alta",AC43="Moderado"),AND(AA43="Muy Alta",AC43="Mayor")),"Alto",IF(OR(AND(AA43="Muy Baja",AC43="Catastrófico"),AND(AA43="Baja",AC43="Catastrófico"),AND(AA43="Media",AC43="Catastrófico"),AND(AA43="Alta",AC43="Catastrófico"),AND(AA43="Muy Alta",AC43="Catastrófico")),"Extremo","")))),"")</f>
        <v/>
      </c>
      <c r="AF43" s="116"/>
      <c r="AG43" s="121"/>
      <c r="AH43" s="122"/>
      <c r="AI43" s="123"/>
      <c r="AJ43" s="123"/>
      <c r="AK43" s="121"/>
      <c r="AL43" s="122"/>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row>
    <row r="44" spans="1:70" x14ac:dyDescent="0.3">
      <c r="A44" s="212"/>
      <c r="B44" s="139"/>
      <c r="C44" s="139"/>
      <c r="D44" s="213"/>
      <c r="E44" s="208"/>
      <c r="F44" s="141"/>
      <c r="G44" s="213"/>
      <c r="H44" s="140"/>
      <c r="I44" s="214"/>
      <c r="J44" s="204"/>
      <c r="K44" s="205"/>
      <c r="L44" s="207"/>
      <c r="M44" s="205">
        <f t="shared" ca="1" si="40"/>
        <v>0</v>
      </c>
      <c r="N44" s="204"/>
      <c r="O44" s="205"/>
      <c r="P44" s="206"/>
      <c r="Q44" s="113">
        <v>6</v>
      </c>
      <c r="R44" s="114"/>
      <c r="S44" s="115" t="str">
        <f t="shared" si="44"/>
        <v/>
      </c>
      <c r="T44" s="116"/>
      <c r="U44" s="116"/>
      <c r="V44" s="117" t="str">
        <f t="shared" si="41"/>
        <v/>
      </c>
      <c r="W44" s="116"/>
      <c r="X44" s="116"/>
      <c r="Y44" s="116"/>
      <c r="Z44" s="118" t="str">
        <f t="shared" si="45"/>
        <v/>
      </c>
      <c r="AA44" s="119" t="str">
        <f t="shared" si="0"/>
        <v/>
      </c>
      <c r="AB44" s="117" t="str">
        <f t="shared" si="42"/>
        <v/>
      </c>
      <c r="AC44" s="119" t="str">
        <f>IFERROR(IF(AD44="","",IF(AD44&lt;=0.2,"Leve",IF(AD44&lt;=0.4,"Menor",IF(AD44&lt;=0.6,"Moderado",IF(AD44&lt;=0.8,"Mayor","Catastrófico"))))),"")</f>
        <v/>
      </c>
      <c r="AD44" s="117" t="str">
        <f t="shared" si="46"/>
        <v/>
      </c>
      <c r="AE44" s="120" t="str">
        <f>IFERROR(IF(OR(AND(AA44="Muy Baja",AC44="Leve"),AND(AA44="Muy Baja",AC44="Menor"),AND(AA44="Baja",AC44="Leve")),"Bajo",IF(OR(AND(AA44="Muy baja",AC44="Moderado"),AND(AA44="Baja",AC44="Menor"),AND(AA44="Baja",AC44="Moderado"),AND(AA44="Media",AC44="Leve"),AND(AA44="Media",AC44="Menor"),AND(AA44="Media",AC44="Moderado"),AND(AA44="Alta",AC44="Leve"),AND(AA44="Alta",AC44="Menor")),"Moderado",IF(OR(AND(AA44="Muy Baja",AC44="Mayor"),AND(AA44="Baja",AC44="Mayor"),AND(AA44="Media",AC44="Mayor"),AND(AA44="Alta",AC44="Moderado"),AND(AA44="Alta",AC44="Mayor"),AND(AA44="Muy Alta",AC44="Leve"),AND(AA44="Muy Alta",AC44="Menor"),AND(AA44="Muy Alta",AC44="Moderado"),AND(AA44="Muy Alta",AC44="Mayor")),"Alto",IF(OR(AND(AA44="Muy Baja",AC44="Catastrófico"),AND(AA44="Baja",AC44="Catastrófico"),AND(AA44="Media",AC44="Catastrófico"),AND(AA44="Alta",AC44="Catastrófico"),AND(AA44="Muy Alta",AC44="Catastrófico")),"Extremo","")))),"")</f>
        <v/>
      </c>
      <c r="AF44" s="116"/>
      <c r="AG44" s="121"/>
      <c r="AH44" s="122"/>
      <c r="AI44" s="123"/>
      <c r="AJ44" s="123"/>
      <c r="AK44" s="121"/>
      <c r="AL44" s="122"/>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row>
    <row r="45" spans="1:70" x14ac:dyDescent="0.3">
      <c r="A45" s="212">
        <v>7</v>
      </c>
      <c r="B45" s="139"/>
      <c r="C45" s="139"/>
      <c r="D45" s="213"/>
      <c r="E45" s="208"/>
      <c r="F45" s="141"/>
      <c r="G45" s="213"/>
      <c r="H45" s="140"/>
      <c r="I45" s="214"/>
      <c r="J45" s="204" t="str">
        <f>IF(I45&lt;=0,"",IF(I45&lt;=2,"Muy Baja",IF(I45&lt;=24,"Baja",IF(I45&lt;=500,"Media",IF(I45&lt;=5000,"Alta","Muy Alta")))))</f>
        <v/>
      </c>
      <c r="K45" s="205" t="str">
        <f>IF(J45="","",IF(J45="Muy Baja",0.2,IF(J45="Baja",0.4,IF(J45="Media",0.6,IF(J45="Alta",0.8,IF(J45="Muy Alta",1,))))))</f>
        <v/>
      </c>
      <c r="L45" s="207"/>
      <c r="M45" s="205">
        <f ca="1">IF(NOT(ISERROR(MATCH(L45,'Tabla Impacto'!$B$221:$B$223,0))),'Tabla Impacto'!$F$223&amp;"Por favor no seleccionar los criterios de impacto(Afectación Económica o presupuestal y Pérdida Reputacional)",L45)</f>
        <v>0</v>
      </c>
      <c r="N45" s="204" t="str">
        <f ca="1">IF(OR(M45='Tabla Impacto'!$C$11,M45='Tabla Impacto'!$D$11),"Leve",IF(OR(M45='Tabla Impacto'!$C$12,M45='Tabla Impacto'!$D$12),"Menor",IF(OR(M45='Tabla Impacto'!$C$13,M45='Tabla Impacto'!$D$13),"Moderado",IF(OR(M45='Tabla Impacto'!$C$14,M45='Tabla Impacto'!$D$14),"Mayor",IF(OR(M45='Tabla Impacto'!$C$15,M45='Tabla Impacto'!$D$15),"Catastrófico","")))))</f>
        <v/>
      </c>
      <c r="O45" s="205" t="str">
        <f ca="1">IF(N45="","",IF(N45="Leve",0.2,IF(N45="Menor",0.4,IF(N45="Moderado",0.6,IF(N45="Mayor",0.8,IF(N45="Catastrófico",1,))))))</f>
        <v/>
      </c>
      <c r="P45" s="206" t="str">
        <f ca="1">IF(OR(AND(J45="Muy Baja",N45="Leve"),AND(J45="Muy Baja",N45="Menor"),AND(J45="Baja",N45="Leve")),"Bajo",IF(OR(AND(J45="Muy baja",N45="Moderado"),AND(J45="Baja",N45="Menor"),AND(J45="Baja",N45="Moderado"),AND(J45="Media",N45="Leve"),AND(J45="Media",N45="Menor"),AND(J45="Media",N45="Moderado"),AND(J45="Alta",N45="Leve"),AND(J45="Alta",N45="Menor")),"Moderado",IF(OR(AND(J45="Muy Baja",N45="Mayor"),AND(J45="Baja",N45="Mayor"),AND(J45="Media",N45="Mayor"),AND(J45="Alta",N45="Moderado"),AND(J45="Alta",N45="Mayor"),AND(J45="Muy Alta",N45="Leve"),AND(J45="Muy Alta",N45="Menor"),AND(J45="Muy Alta",N45="Moderado"),AND(J45="Muy Alta",N45="Mayor")),"Alto",IF(OR(AND(J45="Muy Baja",N45="Catastrófico"),AND(J45="Baja",N45="Catastrófico"),AND(J45="Media",N45="Catastrófico"),AND(J45="Alta",N45="Catastrófico"),AND(J45="Muy Alta",N45="Catastrófico")),"Extremo",""))))</f>
        <v/>
      </c>
      <c r="Q45" s="113">
        <v>1</v>
      </c>
      <c r="R45" s="114"/>
      <c r="S45" s="115" t="str">
        <f>IF(OR(T45="Preventivo",T45="Detectivo"),"Probabilidad",IF(T45="Correctivo","Impacto",""))</f>
        <v/>
      </c>
      <c r="T45" s="116"/>
      <c r="U45" s="116"/>
      <c r="V45" s="117" t="str">
        <f>IF(AND(T45="Preventivo",U45="Automático"),"50%",IF(AND(T45="Preventivo",U45="Manual"),"40%",IF(AND(T45="Detectivo",U45="Automático"),"40%",IF(AND(T45="Detectivo",U45="Manual"),"30%",IF(AND(T45="Correctivo",U45="Automático"),"35%",IF(AND(T45="Correctivo",U45="Manual"),"25%",""))))))</f>
        <v/>
      </c>
      <c r="W45" s="116"/>
      <c r="X45" s="116"/>
      <c r="Y45" s="116"/>
      <c r="Z45" s="118" t="str">
        <f>IFERROR(IF(S45="Probabilidad",(K45-(+K45*V45)),IF(S45="Impacto",K45,"")),"")</f>
        <v/>
      </c>
      <c r="AA45" s="119" t="str">
        <f>IFERROR(IF(Z45="","",IF(Z45&lt;=0.2,"Muy Baja",IF(Z45&lt;=0.4,"Baja",IF(Z45&lt;=0.6,"Media",IF(Z45&lt;=0.8,"Alta","Muy Alta"))))),"")</f>
        <v/>
      </c>
      <c r="AB45" s="117" t="str">
        <f>+Z45</f>
        <v/>
      </c>
      <c r="AC45" s="119" t="str">
        <f>IFERROR(IF(AD45="","",IF(AD45&lt;=0.2,"Leve",IF(AD45&lt;=0.4,"Menor",IF(AD45&lt;=0.6,"Moderado",IF(AD45&lt;=0.8,"Mayor","Catastrófico"))))),"")</f>
        <v/>
      </c>
      <c r="AD45" s="117" t="str">
        <f>IFERROR(IF(S45="Impacto",(O45-(+O45*V45)),IF(S45="Probabilidad",O45,"")),"")</f>
        <v/>
      </c>
      <c r="AE45" s="120" t="str">
        <f>IFERROR(IF(OR(AND(AA45="Muy Baja",AC45="Leve"),AND(AA45="Muy Baja",AC45="Menor"),AND(AA45="Baja",AC45="Leve")),"Bajo",IF(OR(AND(AA45="Muy baja",AC45="Moderado"),AND(AA45="Baja",AC45="Menor"),AND(AA45="Baja",AC45="Moderado"),AND(AA45="Media",AC45="Leve"),AND(AA45="Media",AC45="Menor"),AND(AA45="Media",AC45="Moderado"),AND(AA45="Alta",AC45="Leve"),AND(AA45="Alta",AC45="Menor")),"Moderado",IF(OR(AND(AA45="Muy Baja",AC45="Mayor"),AND(AA45="Baja",AC45="Mayor"),AND(AA45="Media",AC45="Mayor"),AND(AA45="Alta",AC45="Moderado"),AND(AA45="Alta",AC45="Mayor"),AND(AA45="Muy Alta",AC45="Leve"),AND(AA45="Muy Alta",AC45="Menor"),AND(AA45="Muy Alta",AC45="Moderado"),AND(AA45="Muy Alta",AC45="Mayor")),"Alto",IF(OR(AND(AA45="Muy Baja",AC45="Catastrófico"),AND(AA45="Baja",AC45="Catastrófico"),AND(AA45="Media",AC45="Catastrófico"),AND(AA45="Alta",AC45="Catastrófico"),AND(AA45="Muy Alta",AC45="Catastrófico")),"Extremo","")))),"")</f>
        <v/>
      </c>
      <c r="AF45" s="116"/>
      <c r="AG45" s="121"/>
      <c r="AH45" s="122"/>
      <c r="AI45" s="123"/>
      <c r="AJ45" s="123"/>
      <c r="AK45" s="121"/>
      <c r="AL45" s="122"/>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row>
    <row r="46" spans="1:70" x14ac:dyDescent="0.3">
      <c r="A46" s="212"/>
      <c r="B46" s="139"/>
      <c r="C46" s="139"/>
      <c r="D46" s="213"/>
      <c r="E46" s="208"/>
      <c r="F46" s="141"/>
      <c r="G46" s="213"/>
      <c r="H46" s="140"/>
      <c r="I46" s="214"/>
      <c r="J46" s="204"/>
      <c r="K46" s="205"/>
      <c r="L46" s="207"/>
      <c r="M46" s="205">
        <f t="shared" ref="M46:M50" ca="1" si="48">IF(NOT(ISERROR(MATCH(L46,_xlfn.ANCHORARRAY(E57),0))),K59&amp;"Por favor no seleccionar los criterios de impacto",L46)</f>
        <v>0</v>
      </c>
      <c r="N46" s="204"/>
      <c r="O46" s="205"/>
      <c r="P46" s="206"/>
      <c r="Q46" s="113">
        <v>2</v>
      </c>
      <c r="R46" s="114"/>
      <c r="S46" s="115" t="str">
        <f>IF(OR(T46="Preventivo",T46="Detectivo"),"Probabilidad",IF(T46="Correctivo","Impacto",""))</f>
        <v/>
      </c>
      <c r="T46" s="116"/>
      <c r="U46" s="116"/>
      <c r="V46" s="117" t="str">
        <f t="shared" ref="V46:V50" si="49">IF(AND(T46="Preventivo",U46="Automático"),"50%",IF(AND(T46="Preventivo",U46="Manual"),"40%",IF(AND(T46="Detectivo",U46="Automático"),"40%",IF(AND(T46="Detectivo",U46="Manual"),"30%",IF(AND(T46="Correctivo",U46="Automático"),"35%",IF(AND(T46="Correctivo",U46="Manual"),"25%",""))))))</f>
        <v/>
      </c>
      <c r="W46" s="116"/>
      <c r="X46" s="116"/>
      <c r="Y46" s="116"/>
      <c r="Z46" s="118" t="str">
        <f>IFERROR(IF(AND(S45="Probabilidad",S46="Probabilidad"),(AB45-(+AB45*V46)),IF(S46="Probabilidad",(K45-(+K45*V46)),IF(S46="Impacto",AB45,""))),"")</f>
        <v/>
      </c>
      <c r="AA46" s="119" t="str">
        <f t="shared" si="0"/>
        <v/>
      </c>
      <c r="AB46" s="117" t="str">
        <f t="shared" ref="AB46:AB50" si="50">+Z46</f>
        <v/>
      </c>
      <c r="AC46" s="119" t="str">
        <f t="shared" si="2"/>
        <v/>
      </c>
      <c r="AD46" s="117" t="str">
        <f>IFERROR(IF(AND(S45="Impacto",S46="Impacto"),(AD39-(+AD39*V46)),IF(S46="Impacto",($O$45-(+$O$45*V46)),IF(S46="Probabilidad",AD39,""))),"")</f>
        <v/>
      </c>
      <c r="AE46" s="120" t="str">
        <f t="shared" ref="AE46:AE47" si="51">IFERROR(IF(OR(AND(AA46="Muy Baja",AC46="Leve"),AND(AA46="Muy Baja",AC46="Menor"),AND(AA46="Baja",AC46="Leve")),"Bajo",IF(OR(AND(AA46="Muy baja",AC46="Moderado"),AND(AA46="Baja",AC46="Menor"),AND(AA46="Baja",AC46="Moderado"),AND(AA46="Media",AC46="Leve"),AND(AA46="Media",AC46="Menor"),AND(AA46="Media",AC46="Moderado"),AND(AA46="Alta",AC46="Leve"),AND(AA46="Alta",AC46="Menor")),"Moderado",IF(OR(AND(AA46="Muy Baja",AC46="Mayor"),AND(AA46="Baja",AC46="Mayor"),AND(AA46="Media",AC46="Mayor"),AND(AA46="Alta",AC46="Moderado"),AND(AA46="Alta",AC46="Mayor"),AND(AA46="Muy Alta",AC46="Leve"),AND(AA46="Muy Alta",AC46="Menor"),AND(AA46="Muy Alta",AC46="Moderado"),AND(AA46="Muy Alta",AC46="Mayor")),"Alto",IF(OR(AND(AA46="Muy Baja",AC46="Catastrófico"),AND(AA46="Baja",AC46="Catastrófico"),AND(AA46="Media",AC46="Catastrófico"),AND(AA46="Alta",AC46="Catastrófico"),AND(AA46="Muy Alta",AC46="Catastrófico")),"Extremo","")))),"")</f>
        <v/>
      </c>
      <c r="AF46" s="116"/>
      <c r="AG46" s="121"/>
      <c r="AH46" s="122"/>
      <c r="AI46" s="123"/>
      <c r="AJ46" s="123"/>
      <c r="AK46" s="121"/>
      <c r="AL46" s="122"/>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row>
    <row r="47" spans="1:70" x14ac:dyDescent="0.3">
      <c r="A47" s="212"/>
      <c r="B47" s="139"/>
      <c r="C47" s="139"/>
      <c r="D47" s="213"/>
      <c r="E47" s="208"/>
      <c r="F47" s="141"/>
      <c r="G47" s="213"/>
      <c r="H47" s="140"/>
      <c r="I47" s="214"/>
      <c r="J47" s="204"/>
      <c r="K47" s="205"/>
      <c r="L47" s="207"/>
      <c r="M47" s="205">
        <f t="shared" ca="1" si="48"/>
        <v>0</v>
      </c>
      <c r="N47" s="204"/>
      <c r="O47" s="205"/>
      <c r="P47" s="206"/>
      <c r="Q47" s="113">
        <v>3</v>
      </c>
      <c r="R47" s="126"/>
      <c r="S47" s="115" t="str">
        <f>IF(OR(T47="Preventivo",T47="Detectivo"),"Probabilidad",IF(T47="Correctivo","Impacto",""))</f>
        <v/>
      </c>
      <c r="T47" s="116"/>
      <c r="U47" s="116"/>
      <c r="V47" s="117" t="str">
        <f t="shared" si="49"/>
        <v/>
      </c>
      <c r="W47" s="116"/>
      <c r="X47" s="116"/>
      <c r="Y47" s="116"/>
      <c r="Z47" s="118" t="str">
        <f>IFERROR(IF(AND(S46="Probabilidad",S47="Probabilidad"),(AB46-(+AB46*V47)),IF(AND(S46="Impacto",S47="Probabilidad"),(AB45-(+AB45*V47)),IF(S47="Impacto",AB46,""))),"")</f>
        <v/>
      </c>
      <c r="AA47" s="119" t="str">
        <f t="shared" si="0"/>
        <v/>
      </c>
      <c r="AB47" s="117" t="str">
        <f t="shared" si="50"/>
        <v/>
      </c>
      <c r="AC47" s="119" t="str">
        <f t="shared" si="2"/>
        <v/>
      </c>
      <c r="AD47" s="117" t="str">
        <f>IFERROR(IF(AND(S46="Impacto",S47="Impacto"),(AD46-(+AD46*V47)),IF(AND(S46="Probabilidad",S47="Impacto"),(AD45-(+AD45*V47)),IF(S47="Probabilidad",AD46,""))),"")</f>
        <v/>
      </c>
      <c r="AE47" s="120" t="str">
        <f t="shared" si="51"/>
        <v/>
      </c>
      <c r="AF47" s="116"/>
      <c r="AG47" s="121"/>
      <c r="AH47" s="122"/>
      <c r="AI47" s="123"/>
      <c r="AJ47" s="123"/>
      <c r="AK47" s="121"/>
      <c r="AL47" s="122"/>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row>
    <row r="48" spans="1:70" x14ac:dyDescent="0.3">
      <c r="A48" s="212"/>
      <c r="B48" s="139"/>
      <c r="C48" s="139"/>
      <c r="D48" s="213"/>
      <c r="E48" s="208"/>
      <c r="F48" s="141"/>
      <c r="G48" s="213"/>
      <c r="H48" s="140"/>
      <c r="I48" s="214"/>
      <c r="J48" s="204"/>
      <c r="K48" s="205"/>
      <c r="L48" s="207"/>
      <c r="M48" s="205">
        <f t="shared" ca="1" si="48"/>
        <v>0</v>
      </c>
      <c r="N48" s="204"/>
      <c r="O48" s="205"/>
      <c r="P48" s="206"/>
      <c r="Q48" s="113">
        <v>4</v>
      </c>
      <c r="R48" s="114"/>
      <c r="S48" s="115" t="str">
        <f t="shared" ref="S48:S50" si="52">IF(OR(T48="Preventivo",T48="Detectivo"),"Probabilidad",IF(T48="Correctivo","Impacto",""))</f>
        <v/>
      </c>
      <c r="T48" s="116"/>
      <c r="U48" s="116"/>
      <c r="V48" s="117" t="str">
        <f t="shared" si="49"/>
        <v/>
      </c>
      <c r="W48" s="116"/>
      <c r="X48" s="116"/>
      <c r="Y48" s="116"/>
      <c r="Z48" s="118" t="str">
        <f t="shared" ref="Z48:Z50" si="53">IFERROR(IF(AND(S47="Probabilidad",S48="Probabilidad"),(AB47-(+AB47*V48)),IF(AND(S47="Impacto",S48="Probabilidad"),(AB46-(+AB46*V48)),IF(S48="Impacto",AB47,""))),"")</f>
        <v/>
      </c>
      <c r="AA48" s="119" t="str">
        <f t="shared" si="0"/>
        <v/>
      </c>
      <c r="AB48" s="117" t="str">
        <f t="shared" si="50"/>
        <v/>
      </c>
      <c r="AC48" s="119" t="str">
        <f t="shared" si="2"/>
        <v/>
      </c>
      <c r="AD48" s="117" t="str">
        <f t="shared" ref="AD48:AD50" si="54">IFERROR(IF(AND(S47="Impacto",S48="Impacto"),(AD47-(+AD47*V48)),IF(AND(S47="Probabilidad",S48="Impacto"),(AD46-(+AD46*V48)),IF(S48="Probabilidad",AD47,""))),"")</f>
        <v/>
      </c>
      <c r="AE48" s="120" t="str">
        <f>IFERROR(IF(OR(AND(AA48="Muy Baja",AC48="Leve"),AND(AA48="Muy Baja",AC48="Menor"),AND(AA48="Baja",AC48="Leve")),"Bajo",IF(OR(AND(AA48="Muy baja",AC48="Moderado"),AND(AA48="Baja",AC48="Menor"),AND(AA48="Baja",AC48="Moderado"),AND(AA48="Media",AC48="Leve"),AND(AA48="Media",AC48="Menor"),AND(AA48="Media",AC48="Moderado"),AND(AA48="Alta",AC48="Leve"),AND(AA48="Alta",AC48="Menor")),"Moderado",IF(OR(AND(AA48="Muy Baja",AC48="Mayor"),AND(AA48="Baja",AC48="Mayor"),AND(AA48="Media",AC48="Mayor"),AND(AA48="Alta",AC48="Moderado"),AND(AA48="Alta",AC48="Mayor"),AND(AA48="Muy Alta",AC48="Leve"),AND(AA48="Muy Alta",AC48="Menor"),AND(AA48="Muy Alta",AC48="Moderado"),AND(AA48="Muy Alta",AC48="Mayor")),"Alto",IF(OR(AND(AA48="Muy Baja",AC48="Catastrófico"),AND(AA48="Baja",AC48="Catastrófico"),AND(AA48="Media",AC48="Catastrófico"),AND(AA48="Alta",AC48="Catastrófico"),AND(AA48="Muy Alta",AC48="Catastrófico")),"Extremo","")))),"")</f>
        <v/>
      </c>
      <c r="AF48" s="116"/>
      <c r="AG48" s="121"/>
      <c r="AH48" s="122"/>
      <c r="AI48" s="123"/>
      <c r="AJ48" s="123"/>
      <c r="AK48" s="121"/>
      <c r="AL48" s="122"/>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row>
    <row r="49" spans="1:70" x14ac:dyDescent="0.3">
      <c r="A49" s="212"/>
      <c r="B49" s="139"/>
      <c r="C49" s="139"/>
      <c r="D49" s="213"/>
      <c r="E49" s="208"/>
      <c r="F49" s="141"/>
      <c r="G49" s="213"/>
      <c r="H49" s="140"/>
      <c r="I49" s="214"/>
      <c r="J49" s="204"/>
      <c r="K49" s="205"/>
      <c r="L49" s="207"/>
      <c r="M49" s="205">
        <f t="shared" ca="1" si="48"/>
        <v>0</v>
      </c>
      <c r="N49" s="204"/>
      <c r="O49" s="205"/>
      <c r="P49" s="206"/>
      <c r="Q49" s="113">
        <v>5</v>
      </c>
      <c r="R49" s="114"/>
      <c r="S49" s="115" t="str">
        <f t="shared" si="52"/>
        <v/>
      </c>
      <c r="T49" s="116"/>
      <c r="U49" s="116"/>
      <c r="V49" s="117" t="str">
        <f t="shared" si="49"/>
        <v/>
      </c>
      <c r="W49" s="116"/>
      <c r="X49" s="116"/>
      <c r="Y49" s="116"/>
      <c r="Z49" s="118" t="str">
        <f t="shared" si="53"/>
        <v/>
      </c>
      <c r="AA49" s="119" t="str">
        <f t="shared" si="0"/>
        <v/>
      </c>
      <c r="AB49" s="117" t="str">
        <f t="shared" si="50"/>
        <v/>
      </c>
      <c r="AC49" s="119" t="str">
        <f t="shared" si="2"/>
        <v/>
      </c>
      <c r="AD49" s="117" t="str">
        <f t="shared" si="54"/>
        <v/>
      </c>
      <c r="AE49" s="120" t="str">
        <f t="shared" ref="AE49:AE50" si="55">IFERROR(IF(OR(AND(AA49="Muy Baja",AC49="Leve"),AND(AA49="Muy Baja",AC49="Menor"),AND(AA49="Baja",AC49="Leve")),"Bajo",IF(OR(AND(AA49="Muy baja",AC49="Moderado"),AND(AA49="Baja",AC49="Menor"),AND(AA49="Baja",AC49="Moderado"),AND(AA49="Media",AC49="Leve"),AND(AA49="Media",AC49="Menor"),AND(AA49="Media",AC49="Moderado"),AND(AA49="Alta",AC49="Leve"),AND(AA49="Alta",AC49="Menor")),"Moderado",IF(OR(AND(AA49="Muy Baja",AC49="Mayor"),AND(AA49="Baja",AC49="Mayor"),AND(AA49="Media",AC49="Mayor"),AND(AA49="Alta",AC49="Moderado"),AND(AA49="Alta",AC49="Mayor"),AND(AA49="Muy Alta",AC49="Leve"),AND(AA49="Muy Alta",AC49="Menor"),AND(AA49="Muy Alta",AC49="Moderado"),AND(AA49="Muy Alta",AC49="Mayor")),"Alto",IF(OR(AND(AA49="Muy Baja",AC49="Catastrófico"),AND(AA49="Baja",AC49="Catastrófico"),AND(AA49="Media",AC49="Catastrófico"),AND(AA49="Alta",AC49="Catastrófico"),AND(AA49="Muy Alta",AC49="Catastrófico")),"Extremo","")))),"")</f>
        <v/>
      </c>
      <c r="AF49" s="116"/>
      <c r="AG49" s="121"/>
      <c r="AH49" s="122"/>
      <c r="AI49" s="123"/>
      <c r="AJ49" s="123"/>
      <c r="AK49" s="121"/>
      <c r="AL49" s="122"/>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row>
    <row r="50" spans="1:70" x14ac:dyDescent="0.3">
      <c r="A50" s="212"/>
      <c r="B50" s="139"/>
      <c r="C50" s="139"/>
      <c r="D50" s="213"/>
      <c r="E50" s="208"/>
      <c r="F50" s="141"/>
      <c r="G50" s="213"/>
      <c r="H50" s="140"/>
      <c r="I50" s="214"/>
      <c r="J50" s="204"/>
      <c r="K50" s="205"/>
      <c r="L50" s="207"/>
      <c r="M50" s="205">
        <f t="shared" ca="1" si="48"/>
        <v>0</v>
      </c>
      <c r="N50" s="204"/>
      <c r="O50" s="205"/>
      <c r="P50" s="206"/>
      <c r="Q50" s="113">
        <v>6</v>
      </c>
      <c r="R50" s="114"/>
      <c r="S50" s="115" t="str">
        <f t="shared" si="52"/>
        <v/>
      </c>
      <c r="T50" s="116"/>
      <c r="U50" s="116"/>
      <c r="V50" s="117" t="str">
        <f t="shared" si="49"/>
        <v/>
      </c>
      <c r="W50" s="116"/>
      <c r="X50" s="116"/>
      <c r="Y50" s="116"/>
      <c r="Z50" s="118" t="str">
        <f t="shared" si="53"/>
        <v/>
      </c>
      <c r="AA50" s="119" t="str">
        <f t="shared" si="0"/>
        <v/>
      </c>
      <c r="AB50" s="117" t="str">
        <f t="shared" si="50"/>
        <v/>
      </c>
      <c r="AC50" s="119" t="str">
        <f t="shared" si="2"/>
        <v/>
      </c>
      <c r="AD50" s="117" t="str">
        <f t="shared" si="54"/>
        <v/>
      </c>
      <c r="AE50" s="120" t="str">
        <f t="shared" si="55"/>
        <v/>
      </c>
      <c r="AF50" s="116"/>
      <c r="AG50" s="121"/>
      <c r="AH50" s="122"/>
      <c r="AI50" s="123"/>
      <c r="AJ50" s="123"/>
      <c r="AK50" s="121"/>
      <c r="AL50" s="122"/>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row>
    <row r="51" spans="1:70" x14ac:dyDescent="0.3">
      <c r="A51" s="212">
        <v>8</v>
      </c>
      <c r="B51" s="139"/>
      <c r="C51" s="139"/>
      <c r="D51" s="213"/>
      <c r="E51" s="208"/>
      <c r="F51" s="141"/>
      <c r="G51" s="213"/>
      <c r="H51" s="140"/>
      <c r="I51" s="214"/>
      <c r="J51" s="204" t="str">
        <f>IF(I51&lt;=0,"",IF(I51&lt;=2,"Muy Baja",IF(I51&lt;=24,"Baja",IF(I51&lt;=500,"Media",IF(I51&lt;=5000,"Alta","Muy Alta")))))</f>
        <v/>
      </c>
      <c r="K51" s="205" t="str">
        <f>IF(J51="","",IF(J51="Muy Baja",0.2,IF(J51="Baja",0.4,IF(J51="Media",0.6,IF(J51="Alta",0.8,IF(J51="Muy Alta",1,))))))</f>
        <v/>
      </c>
      <c r="L51" s="207"/>
      <c r="M51" s="205">
        <f ca="1">IF(NOT(ISERROR(MATCH(L51,'Tabla Impacto'!$B$221:$B$223,0))),'Tabla Impacto'!$F$223&amp;"Por favor no seleccionar los criterios de impacto(Afectación Económica o presupuestal y Pérdida Reputacional)",L51)</f>
        <v>0</v>
      </c>
      <c r="N51" s="204" t="str">
        <f ca="1">IF(OR(M51='Tabla Impacto'!$C$11,M51='Tabla Impacto'!$D$11),"Leve",IF(OR(M51='Tabla Impacto'!$C$12,M51='Tabla Impacto'!$D$12),"Menor",IF(OR(M51='Tabla Impacto'!$C$13,M51='Tabla Impacto'!$D$13),"Moderado",IF(OR(M51='Tabla Impacto'!$C$14,M51='Tabla Impacto'!$D$14),"Mayor",IF(OR(M51='Tabla Impacto'!$C$15,M51='Tabla Impacto'!$D$15),"Catastrófico","")))))</f>
        <v/>
      </c>
      <c r="O51" s="205" t="str">
        <f ca="1">IF(N51="","",IF(N51="Leve",0.2,IF(N51="Menor",0.4,IF(N51="Moderado",0.6,IF(N51="Mayor",0.8,IF(N51="Catastrófico",1,))))))</f>
        <v/>
      </c>
      <c r="P51" s="206" t="str">
        <f ca="1">IF(OR(AND(J51="Muy Baja",N51="Leve"),AND(J51="Muy Baja",N51="Menor"),AND(J51="Baja",N51="Leve")),"Bajo",IF(OR(AND(J51="Muy baja",N51="Moderado"),AND(J51="Baja",N51="Menor"),AND(J51="Baja",N51="Moderado"),AND(J51="Media",N51="Leve"),AND(J51="Media",N51="Menor"),AND(J51="Media",N51="Moderado"),AND(J51="Alta",N51="Leve"),AND(J51="Alta",N51="Menor")),"Moderado",IF(OR(AND(J51="Muy Baja",N51="Mayor"),AND(J51="Baja",N51="Mayor"),AND(J51="Media",N51="Mayor"),AND(J51="Alta",N51="Moderado"),AND(J51="Alta",N51="Mayor"),AND(J51="Muy Alta",N51="Leve"),AND(J51="Muy Alta",N51="Menor"),AND(J51="Muy Alta",N51="Moderado"),AND(J51="Muy Alta",N51="Mayor")),"Alto",IF(OR(AND(J51="Muy Baja",N51="Catastrófico"),AND(J51="Baja",N51="Catastrófico"),AND(J51="Media",N51="Catastrófico"),AND(J51="Alta",N51="Catastrófico"),AND(J51="Muy Alta",N51="Catastrófico")),"Extremo",""))))</f>
        <v/>
      </c>
      <c r="Q51" s="113">
        <v>1</v>
      </c>
      <c r="R51" s="114"/>
      <c r="S51" s="115" t="str">
        <f>IF(OR(T51="Preventivo",T51="Detectivo"),"Probabilidad",IF(T51="Correctivo","Impacto",""))</f>
        <v/>
      </c>
      <c r="T51" s="116"/>
      <c r="U51" s="116"/>
      <c r="V51" s="117" t="str">
        <f>IF(AND(T51="Preventivo",U51="Automático"),"50%",IF(AND(T51="Preventivo",U51="Manual"),"40%",IF(AND(T51="Detectivo",U51="Automático"),"40%",IF(AND(T51="Detectivo",U51="Manual"),"30%",IF(AND(T51="Correctivo",U51="Automático"),"35%",IF(AND(T51="Correctivo",U51="Manual"),"25%",""))))))</f>
        <v/>
      </c>
      <c r="W51" s="116"/>
      <c r="X51" s="116"/>
      <c r="Y51" s="116"/>
      <c r="Z51" s="118" t="str">
        <f>IFERROR(IF(S51="Probabilidad",(K51-(+K51*V51)),IF(S51="Impacto",K51,"")),"")</f>
        <v/>
      </c>
      <c r="AA51" s="119" t="str">
        <f>IFERROR(IF(Z51="","",IF(Z51&lt;=0.2,"Muy Baja",IF(Z51&lt;=0.4,"Baja",IF(Z51&lt;=0.6,"Media",IF(Z51&lt;=0.8,"Alta","Muy Alta"))))),"")</f>
        <v/>
      </c>
      <c r="AB51" s="117" t="str">
        <f>+Z51</f>
        <v/>
      </c>
      <c r="AC51" s="119" t="str">
        <f>IFERROR(IF(AD51="","",IF(AD51&lt;=0.2,"Leve",IF(AD51&lt;=0.4,"Menor",IF(AD51&lt;=0.6,"Moderado",IF(AD51&lt;=0.8,"Mayor","Catastrófico"))))),"")</f>
        <v/>
      </c>
      <c r="AD51" s="117" t="str">
        <f>IFERROR(IF(S51="Impacto",(O51-(+O51*V51)),IF(S51="Probabilidad",O51,"")),"")</f>
        <v/>
      </c>
      <c r="AE51" s="120" t="str">
        <f>IFERROR(IF(OR(AND(AA51="Muy Baja",AC51="Leve"),AND(AA51="Muy Baja",AC51="Menor"),AND(AA51="Baja",AC51="Leve")),"Bajo",IF(OR(AND(AA51="Muy baja",AC51="Moderado"),AND(AA51="Baja",AC51="Menor"),AND(AA51="Baja",AC51="Moderado"),AND(AA51="Media",AC51="Leve"),AND(AA51="Media",AC51="Menor"),AND(AA51="Media",AC51="Moderado"),AND(AA51="Alta",AC51="Leve"),AND(AA51="Alta",AC51="Menor")),"Moderado",IF(OR(AND(AA51="Muy Baja",AC51="Mayor"),AND(AA51="Baja",AC51="Mayor"),AND(AA51="Media",AC51="Mayor"),AND(AA51="Alta",AC51="Moderado"),AND(AA51="Alta",AC51="Mayor"),AND(AA51="Muy Alta",AC51="Leve"),AND(AA51="Muy Alta",AC51="Menor"),AND(AA51="Muy Alta",AC51="Moderado"),AND(AA51="Muy Alta",AC51="Mayor")),"Alto",IF(OR(AND(AA51="Muy Baja",AC51="Catastrófico"),AND(AA51="Baja",AC51="Catastrófico"),AND(AA51="Media",AC51="Catastrófico"),AND(AA51="Alta",AC51="Catastrófico"),AND(AA51="Muy Alta",AC51="Catastrófico")),"Extremo","")))),"")</f>
        <v/>
      </c>
      <c r="AF51" s="116"/>
      <c r="AG51" s="121"/>
      <c r="AH51" s="122"/>
      <c r="AI51" s="123"/>
      <c r="AJ51" s="123"/>
      <c r="AK51" s="121"/>
      <c r="AL51" s="122"/>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row>
    <row r="52" spans="1:70" x14ac:dyDescent="0.3">
      <c r="A52" s="212"/>
      <c r="B52" s="139"/>
      <c r="C52" s="139"/>
      <c r="D52" s="213"/>
      <c r="E52" s="208"/>
      <c r="F52" s="141"/>
      <c r="G52" s="213"/>
      <c r="H52" s="140"/>
      <c r="I52" s="214"/>
      <c r="J52" s="204"/>
      <c r="K52" s="205"/>
      <c r="L52" s="207"/>
      <c r="M52" s="205">
        <f ca="1">IF(NOT(ISERROR(MATCH(L52,_xlfn.ANCHORARRAY(E63),0))),K65&amp;"Por favor no seleccionar los criterios de impacto",L52)</f>
        <v>0</v>
      </c>
      <c r="N52" s="204"/>
      <c r="O52" s="205"/>
      <c r="P52" s="206"/>
      <c r="Q52" s="113">
        <v>2</v>
      </c>
      <c r="R52" s="114"/>
      <c r="S52" s="115" t="str">
        <f>IF(OR(T52="Preventivo",T52="Detectivo"),"Probabilidad",IF(T52="Correctivo","Impacto",""))</f>
        <v/>
      </c>
      <c r="T52" s="116"/>
      <c r="U52" s="116"/>
      <c r="V52" s="117" t="str">
        <f t="shared" ref="V52:V56" si="56">IF(AND(T52="Preventivo",U52="Automático"),"50%",IF(AND(T52="Preventivo",U52="Manual"),"40%",IF(AND(T52="Detectivo",U52="Automático"),"40%",IF(AND(T52="Detectivo",U52="Manual"),"30%",IF(AND(T52="Correctivo",U52="Automático"),"35%",IF(AND(T52="Correctivo",U52="Manual"),"25%",""))))))</f>
        <v/>
      </c>
      <c r="W52" s="116"/>
      <c r="X52" s="116"/>
      <c r="Y52" s="116"/>
      <c r="Z52" s="118" t="str">
        <f>IFERROR(IF(AND(S51="Probabilidad",S52="Probabilidad"),(AB51-(+AB51*V52)),IF(S52="Probabilidad",(K51-(+K51*V52)),IF(S52="Impacto",AB51,""))),"")</f>
        <v/>
      </c>
      <c r="AA52" s="119" t="str">
        <f t="shared" si="0"/>
        <v/>
      </c>
      <c r="AB52" s="117" t="str">
        <f t="shared" ref="AB52:AB56" si="57">+Z52</f>
        <v/>
      </c>
      <c r="AC52" s="119" t="str">
        <f t="shared" si="2"/>
        <v/>
      </c>
      <c r="AD52" s="117" t="str">
        <f>IFERROR(IF(AND(S51="Impacto",S52="Impacto"),(AD45-(+AD45*V52)),IF(S52="Impacto",($O$51-(+$O$51*V52)),IF(S52="Probabilidad",AD45,""))),"")</f>
        <v/>
      </c>
      <c r="AE52" s="120" t="str">
        <f t="shared" ref="AE52:AE53" si="58">IFERROR(IF(OR(AND(AA52="Muy Baja",AC52="Leve"),AND(AA52="Muy Baja",AC52="Menor"),AND(AA52="Baja",AC52="Leve")),"Bajo",IF(OR(AND(AA52="Muy baja",AC52="Moderado"),AND(AA52="Baja",AC52="Menor"),AND(AA52="Baja",AC52="Moderado"),AND(AA52="Media",AC52="Leve"),AND(AA52="Media",AC52="Menor"),AND(AA52="Media",AC52="Moderado"),AND(AA52="Alta",AC52="Leve"),AND(AA52="Alta",AC52="Menor")),"Moderado",IF(OR(AND(AA52="Muy Baja",AC52="Mayor"),AND(AA52="Baja",AC52="Mayor"),AND(AA52="Media",AC52="Mayor"),AND(AA52="Alta",AC52="Moderado"),AND(AA52="Alta",AC52="Mayor"),AND(AA52="Muy Alta",AC52="Leve"),AND(AA52="Muy Alta",AC52="Menor"),AND(AA52="Muy Alta",AC52="Moderado"),AND(AA52="Muy Alta",AC52="Mayor")),"Alto",IF(OR(AND(AA52="Muy Baja",AC52="Catastrófico"),AND(AA52="Baja",AC52="Catastrófico"),AND(AA52="Media",AC52="Catastrófico"),AND(AA52="Alta",AC52="Catastrófico"),AND(AA52="Muy Alta",AC52="Catastrófico")),"Extremo","")))),"")</f>
        <v/>
      </c>
      <c r="AF52" s="116"/>
      <c r="AG52" s="121"/>
      <c r="AH52" s="122"/>
      <c r="AI52" s="123"/>
      <c r="AJ52" s="123"/>
      <c r="AK52" s="121"/>
      <c r="AL52" s="122"/>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row>
    <row r="53" spans="1:70" x14ac:dyDescent="0.3">
      <c r="A53" s="212"/>
      <c r="B53" s="139"/>
      <c r="C53" s="139"/>
      <c r="D53" s="213"/>
      <c r="E53" s="208"/>
      <c r="F53" s="141"/>
      <c r="G53" s="213"/>
      <c r="H53" s="140"/>
      <c r="I53" s="214"/>
      <c r="J53" s="204"/>
      <c r="K53" s="205"/>
      <c r="L53" s="207"/>
      <c r="M53" s="205">
        <f ca="1">IF(NOT(ISERROR(MATCH(L53,_xlfn.ANCHORARRAY(E64),0))),K66&amp;"Por favor no seleccionar los criterios de impacto",L53)</f>
        <v>0</v>
      </c>
      <c r="N53" s="204"/>
      <c r="O53" s="205"/>
      <c r="P53" s="206"/>
      <c r="Q53" s="113">
        <v>3</v>
      </c>
      <c r="R53" s="126"/>
      <c r="S53" s="115" t="str">
        <f>IF(OR(T53="Preventivo",T53="Detectivo"),"Probabilidad",IF(T53="Correctivo","Impacto",""))</f>
        <v/>
      </c>
      <c r="T53" s="116"/>
      <c r="U53" s="116"/>
      <c r="V53" s="117" t="str">
        <f t="shared" si="56"/>
        <v/>
      </c>
      <c r="W53" s="116"/>
      <c r="X53" s="116"/>
      <c r="Y53" s="116"/>
      <c r="Z53" s="118" t="str">
        <f>IFERROR(IF(AND(S52="Probabilidad",S53="Probabilidad"),(AB52-(+AB52*V53)),IF(AND(S52="Impacto",S53="Probabilidad"),(AB51-(+AB51*V53)),IF(S53="Impacto",AB52,""))),"")</f>
        <v/>
      </c>
      <c r="AA53" s="119" t="str">
        <f t="shared" si="0"/>
        <v/>
      </c>
      <c r="AB53" s="117" t="str">
        <f t="shared" si="57"/>
        <v/>
      </c>
      <c r="AC53" s="119" t="str">
        <f t="shared" si="2"/>
        <v/>
      </c>
      <c r="AD53" s="117" t="str">
        <f>IFERROR(IF(AND(S52="Impacto",S53="Impacto"),(AD52-(+AD52*V53)),IF(AND(S52="Probabilidad",S53="Impacto"),(AD51-(+AD51*V53)),IF(S53="Probabilidad",AD52,""))),"")</f>
        <v/>
      </c>
      <c r="AE53" s="120" t="str">
        <f t="shared" si="58"/>
        <v/>
      </c>
      <c r="AF53" s="116"/>
      <c r="AG53" s="121"/>
      <c r="AH53" s="122"/>
      <c r="AI53" s="123"/>
      <c r="AJ53" s="123"/>
      <c r="AK53" s="121"/>
      <c r="AL53" s="122"/>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row>
    <row r="54" spans="1:70" x14ac:dyDescent="0.3">
      <c r="A54" s="212"/>
      <c r="B54" s="139"/>
      <c r="C54" s="139"/>
      <c r="D54" s="213"/>
      <c r="E54" s="208"/>
      <c r="F54" s="141"/>
      <c r="G54" s="213"/>
      <c r="H54" s="140"/>
      <c r="I54" s="214"/>
      <c r="J54" s="204"/>
      <c r="K54" s="205"/>
      <c r="L54" s="207"/>
      <c r="M54" s="205">
        <f ca="1">IF(NOT(ISERROR(MATCH(L54,_xlfn.ANCHORARRAY(E65),0))),K67&amp;"Por favor no seleccionar los criterios de impacto",L54)</f>
        <v>0</v>
      </c>
      <c r="N54" s="204"/>
      <c r="O54" s="205"/>
      <c r="P54" s="206"/>
      <c r="Q54" s="113">
        <v>4</v>
      </c>
      <c r="R54" s="114"/>
      <c r="S54" s="115" t="str">
        <f t="shared" ref="S54:S56" si="59">IF(OR(T54="Preventivo",T54="Detectivo"),"Probabilidad",IF(T54="Correctivo","Impacto",""))</f>
        <v/>
      </c>
      <c r="T54" s="116"/>
      <c r="U54" s="116"/>
      <c r="V54" s="117" t="str">
        <f t="shared" si="56"/>
        <v/>
      </c>
      <c r="W54" s="116"/>
      <c r="X54" s="116"/>
      <c r="Y54" s="116"/>
      <c r="Z54" s="118" t="str">
        <f t="shared" ref="Z54:Z56" si="60">IFERROR(IF(AND(S53="Probabilidad",S54="Probabilidad"),(AB53-(+AB53*V54)),IF(AND(S53="Impacto",S54="Probabilidad"),(AB52-(+AB52*V54)),IF(S54="Impacto",AB53,""))),"")</f>
        <v/>
      </c>
      <c r="AA54" s="119" t="str">
        <f t="shared" si="0"/>
        <v/>
      </c>
      <c r="AB54" s="117" t="str">
        <f t="shared" si="57"/>
        <v/>
      </c>
      <c r="AC54" s="119" t="str">
        <f t="shared" si="2"/>
        <v/>
      </c>
      <c r="AD54" s="117" t="str">
        <f t="shared" ref="AD54:AD56" si="61">IFERROR(IF(AND(S53="Impacto",S54="Impacto"),(AD53-(+AD53*V54)),IF(AND(S53="Probabilidad",S54="Impacto"),(AD52-(+AD52*V54)),IF(S54="Probabilidad",AD53,""))),"")</f>
        <v/>
      </c>
      <c r="AE54" s="120" t="str">
        <f>IFERROR(IF(OR(AND(AA54="Muy Baja",AC54="Leve"),AND(AA54="Muy Baja",AC54="Menor"),AND(AA54="Baja",AC54="Leve")),"Bajo",IF(OR(AND(AA54="Muy baja",AC54="Moderado"),AND(AA54="Baja",AC54="Menor"),AND(AA54="Baja",AC54="Moderado"),AND(AA54="Media",AC54="Leve"),AND(AA54="Media",AC54="Menor"),AND(AA54="Media",AC54="Moderado"),AND(AA54="Alta",AC54="Leve"),AND(AA54="Alta",AC54="Menor")),"Moderado",IF(OR(AND(AA54="Muy Baja",AC54="Mayor"),AND(AA54="Baja",AC54="Mayor"),AND(AA54="Media",AC54="Mayor"),AND(AA54="Alta",AC54="Moderado"),AND(AA54="Alta",AC54="Mayor"),AND(AA54="Muy Alta",AC54="Leve"),AND(AA54="Muy Alta",AC54="Menor"),AND(AA54="Muy Alta",AC54="Moderado"),AND(AA54="Muy Alta",AC54="Mayor")),"Alto",IF(OR(AND(AA54="Muy Baja",AC54="Catastrófico"),AND(AA54="Baja",AC54="Catastrófico"),AND(AA54="Media",AC54="Catastrófico"),AND(AA54="Alta",AC54="Catastrófico"),AND(AA54="Muy Alta",AC54="Catastrófico")),"Extremo","")))),"")</f>
        <v/>
      </c>
      <c r="AF54" s="116"/>
      <c r="AG54" s="121"/>
      <c r="AH54" s="122"/>
      <c r="AI54" s="123"/>
      <c r="AJ54" s="123"/>
      <c r="AK54" s="121"/>
      <c r="AL54" s="122"/>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row>
    <row r="55" spans="1:70" x14ac:dyDescent="0.3">
      <c r="A55" s="212"/>
      <c r="B55" s="139"/>
      <c r="C55" s="139"/>
      <c r="D55" s="213"/>
      <c r="E55" s="208"/>
      <c r="F55" s="141"/>
      <c r="G55" s="213"/>
      <c r="H55" s="140"/>
      <c r="I55" s="214"/>
      <c r="J55" s="204"/>
      <c r="K55" s="205"/>
      <c r="L55" s="207"/>
      <c r="M55" s="205">
        <f ca="1">IF(NOT(ISERROR(MATCH(L55,_xlfn.ANCHORARRAY(E66),0))),K68&amp;"Por favor no seleccionar los criterios de impacto",L55)</f>
        <v>0</v>
      </c>
      <c r="N55" s="204"/>
      <c r="O55" s="205"/>
      <c r="P55" s="206"/>
      <c r="Q55" s="113">
        <v>5</v>
      </c>
      <c r="R55" s="114"/>
      <c r="S55" s="115" t="str">
        <f t="shared" si="59"/>
        <v/>
      </c>
      <c r="T55" s="116"/>
      <c r="U55" s="116"/>
      <c r="V55" s="117" t="str">
        <f t="shared" si="56"/>
        <v/>
      </c>
      <c r="W55" s="116"/>
      <c r="X55" s="116"/>
      <c r="Y55" s="116"/>
      <c r="Z55" s="118" t="str">
        <f t="shared" si="60"/>
        <v/>
      </c>
      <c r="AA55" s="119" t="str">
        <f t="shared" si="0"/>
        <v/>
      </c>
      <c r="AB55" s="117" t="str">
        <f t="shared" si="57"/>
        <v/>
      </c>
      <c r="AC55" s="119" t="str">
        <f t="shared" si="2"/>
        <v/>
      </c>
      <c r="AD55" s="117" t="str">
        <f t="shared" si="61"/>
        <v/>
      </c>
      <c r="AE55" s="120" t="str">
        <f t="shared" ref="AE55:AE56" si="62">IFERROR(IF(OR(AND(AA55="Muy Baja",AC55="Leve"),AND(AA55="Muy Baja",AC55="Menor"),AND(AA55="Baja",AC55="Leve")),"Bajo",IF(OR(AND(AA55="Muy baja",AC55="Moderado"),AND(AA55="Baja",AC55="Menor"),AND(AA55="Baja",AC55="Moderado"),AND(AA55="Media",AC55="Leve"),AND(AA55="Media",AC55="Menor"),AND(AA55="Media",AC55="Moderado"),AND(AA55="Alta",AC55="Leve"),AND(AA55="Alta",AC55="Menor")),"Moderado",IF(OR(AND(AA55="Muy Baja",AC55="Mayor"),AND(AA55="Baja",AC55="Mayor"),AND(AA55="Media",AC55="Mayor"),AND(AA55="Alta",AC55="Moderado"),AND(AA55="Alta",AC55="Mayor"),AND(AA55="Muy Alta",AC55="Leve"),AND(AA55="Muy Alta",AC55="Menor"),AND(AA55="Muy Alta",AC55="Moderado"),AND(AA55="Muy Alta",AC55="Mayor")),"Alto",IF(OR(AND(AA55="Muy Baja",AC55="Catastrófico"),AND(AA55="Baja",AC55="Catastrófico"),AND(AA55="Media",AC55="Catastrófico"),AND(AA55="Alta",AC55="Catastrófico"),AND(AA55="Muy Alta",AC55="Catastrófico")),"Extremo","")))),"")</f>
        <v/>
      </c>
      <c r="AF55" s="116"/>
      <c r="AG55" s="121"/>
      <c r="AH55" s="122"/>
      <c r="AI55" s="123"/>
      <c r="AJ55" s="123"/>
      <c r="AK55" s="121"/>
      <c r="AL55" s="122"/>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row>
    <row r="56" spans="1:70" x14ac:dyDescent="0.3">
      <c r="A56" s="212"/>
      <c r="B56" s="139"/>
      <c r="C56" s="139"/>
      <c r="D56" s="213"/>
      <c r="E56" s="208"/>
      <c r="F56" s="141"/>
      <c r="G56" s="213"/>
      <c r="H56" s="140"/>
      <c r="I56" s="214"/>
      <c r="J56" s="204"/>
      <c r="K56" s="205"/>
      <c r="L56" s="207"/>
      <c r="M56" s="205">
        <f ca="1">IF(NOT(ISERROR(MATCH(L56,_xlfn.ANCHORARRAY(E67),0))),K70&amp;"Por favor no seleccionar los criterios de impacto",L56)</f>
        <v>0</v>
      </c>
      <c r="N56" s="204"/>
      <c r="O56" s="205"/>
      <c r="P56" s="206"/>
      <c r="Q56" s="113">
        <v>6</v>
      </c>
      <c r="R56" s="114"/>
      <c r="S56" s="115" t="str">
        <f t="shared" si="59"/>
        <v/>
      </c>
      <c r="T56" s="116"/>
      <c r="U56" s="116"/>
      <c r="V56" s="117" t="str">
        <f t="shared" si="56"/>
        <v/>
      </c>
      <c r="W56" s="116"/>
      <c r="X56" s="116"/>
      <c r="Y56" s="116"/>
      <c r="Z56" s="118" t="str">
        <f t="shared" si="60"/>
        <v/>
      </c>
      <c r="AA56" s="119" t="str">
        <f t="shared" si="0"/>
        <v/>
      </c>
      <c r="AB56" s="117" t="str">
        <f t="shared" si="57"/>
        <v/>
      </c>
      <c r="AC56" s="119" t="str">
        <f t="shared" si="2"/>
        <v/>
      </c>
      <c r="AD56" s="117" t="str">
        <f t="shared" si="61"/>
        <v/>
      </c>
      <c r="AE56" s="120" t="str">
        <f t="shared" si="62"/>
        <v/>
      </c>
      <c r="AF56" s="116"/>
      <c r="AG56" s="121"/>
      <c r="AH56" s="122"/>
      <c r="AI56" s="123"/>
      <c r="AJ56" s="123"/>
      <c r="AK56" s="121"/>
      <c r="AL56" s="122"/>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row>
    <row r="57" spans="1:70" x14ac:dyDescent="0.3">
      <c r="A57" s="212">
        <v>9</v>
      </c>
      <c r="B57" s="139"/>
      <c r="C57" s="139"/>
      <c r="D57" s="213"/>
      <c r="E57" s="208"/>
      <c r="F57" s="141"/>
      <c r="G57" s="213"/>
      <c r="H57" s="140"/>
      <c r="I57" s="214"/>
      <c r="J57" s="204" t="str">
        <f>IF(I57&lt;=0,"",IF(I57&lt;=2,"Muy Baja",IF(I57&lt;=24,"Baja",IF(I57&lt;=500,"Media",IF(I57&lt;=5000,"Alta","Muy Alta")))))</f>
        <v/>
      </c>
      <c r="K57" s="205" t="str">
        <f>IF(J57="","",IF(J57="Muy Baja",0.2,IF(J57="Baja",0.4,IF(J57="Media",0.6,IF(J57="Alta",0.8,IF(J57="Muy Alta",1,))))))</f>
        <v/>
      </c>
      <c r="L57" s="207"/>
      <c r="M57" s="205">
        <f ca="1">IF(NOT(ISERROR(MATCH(L57,'Tabla Impacto'!$B$221:$B$223,0))),'Tabla Impacto'!$F$223&amp;"Por favor no seleccionar los criterios de impacto(Afectación Económica o presupuestal y Pérdida Reputacional)",L57)</f>
        <v>0</v>
      </c>
      <c r="N57" s="204" t="str">
        <f ca="1">IF(OR(M57='Tabla Impacto'!$C$11,M57='Tabla Impacto'!$D$11),"Leve",IF(OR(M57='Tabla Impacto'!$C$12,M57='Tabla Impacto'!$D$12),"Menor",IF(OR(M57='Tabla Impacto'!$C$13,M57='Tabla Impacto'!$D$13),"Moderado",IF(OR(M57='Tabla Impacto'!$C$14,M57='Tabla Impacto'!$D$14),"Mayor",IF(OR(M57='Tabla Impacto'!$C$15,M57='Tabla Impacto'!$D$15),"Catastrófico","")))))</f>
        <v/>
      </c>
      <c r="O57" s="205" t="str">
        <f ca="1">IF(N57="","",IF(N57="Leve",0.2,IF(N57="Menor",0.4,IF(N57="Moderado",0.6,IF(N57="Mayor",0.8,IF(N57="Catastrófico",1,))))))</f>
        <v/>
      </c>
      <c r="P57" s="206" t="str">
        <f ca="1">IF(OR(AND(J57="Muy Baja",N57="Leve"),AND(J57="Muy Baja",N57="Menor"),AND(J57="Baja",N57="Leve")),"Bajo",IF(OR(AND(J57="Muy baja",N57="Moderado"),AND(J57="Baja",N57="Menor"),AND(J57="Baja",N57="Moderado"),AND(J57="Media",N57="Leve"),AND(J57="Media",N57="Menor"),AND(J57="Media",N57="Moderado"),AND(J57="Alta",N57="Leve"),AND(J57="Alta",N57="Menor")),"Moderado",IF(OR(AND(J57="Muy Baja",N57="Mayor"),AND(J57="Baja",N57="Mayor"),AND(J57="Media",N57="Mayor"),AND(J57="Alta",N57="Moderado"),AND(J57="Alta",N57="Mayor"),AND(J57="Muy Alta",N57="Leve"),AND(J57="Muy Alta",N57="Menor"),AND(J57="Muy Alta",N57="Moderado"),AND(J57="Muy Alta",N57="Mayor")),"Alto",IF(OR(AND(J57="Muy Baja",N57="Catastrófico"),AND(J57="Baja",N57="Catastrófico"),AND(J57="Media",N57="Catastrófico"),AND(J57="Alta",N57="Catastrófico"),AND(J57="Muy Alta",N57="Catastrófico")),"Extremo",""))))</f>
        <v/>
      </c>
      <c r="Q57" s="113">
        <v>1</v>
      </c>
      <c r="R57" s="114"/>
      <c r="S57" s="115" t="str">
        <f>IF(OR(T57="Preventivo",T57="Detectivo"),"Probabilidad",IF(T57="Correctivo","Impacto",""))</f>
        <v/>
      </c>
      <c r="T57" s="116"/>
      <c r="U57" s="116"/>
      <c r="V57" s="117" t="str">
        <f>IF(AND(T57="Preventivo",U57="Automático"),"50%",IF(AND(T57="Preventivo",U57="Manual"),"40%",IF(AND(T57="Detectivo",U57="Automático"),"40%",IF(AND(T57="Detectivo",U57="Manual"),"30%",IF(AND(T57="Correctivo",U57="Automático"),"35%",IF(AND(T57="Correctivo",U57="Manual"),"25%",""))))))</f>
        <v/>
      </c>
      <c r="W57" s="116"/>
      <c r="X57" s="116"/>
      <c r="Y57" s="116"/>
      <c r="Z57" s="118" t="str">
        <f>IFERROR(IF(S57="Probabilidad",(K57-(+K57*V57)),IF(S57="Impacto",K57,"")),"")</f>
        <v/>
      </c>
      <c r="AA57" s="119" t="str">
        <f>IFERROR(IF(Z57="","",IF(Z57&lt;=0.2,"Muy Baja",IF(Z57&lt;=0.4,"Baja",IF(Z57&lt;=0.6,"Media",IF(Z57&lt;=0.8,"Alta","Muy Alta"))))),"")</f>
        <v/>
      </c>
      <c r="AB57" s="117" t="str">
        <f>+Z57</f>
        <v/>
      </c>
      <c r="AC57" s="119" t="str">
        <f>IFERROR(IF(AD57="","",IF(AD57&lt;=0.2,"Leve",IF(AD57&lt;=0.4,"Menor",IF(AD57&lt;=0.6,"Moderado",IF(AD57&lt;=0.8,"Mayor","Catastrófico"))))),"")</f>
        <v/>
      </c>
      <c r="AD57" s="117" t="str">
        <f>IFERROR(IF(S57="Impacto",(O57-(+O57*V57)),IF(S57="Probabilidad",O57,"")),"")</f>
        <v/>
      </c>
      <c r="AE57" s="120" t="str">
        <f>IFERROR(IF(OR(AND(AA57="Muy Baja",AC57="Leve"),AND(AA57="Muy Baja",AC57="Menor"),AND(AA57="Baja",AC57="Leve")),"Bajo",IF(OR(AND(AA57="Muy baja",AC57="Moderado"),AND(AA57="Baja",AC57="Menor"),AND(AA57="Baja",AC57="Moderado"),AND(AA57="Media",AC57="Leve"),AND(AA57="Media",AC57="Menor"),AND(AA57="Media",AC57="Moderado"),AND(AA57="Alta",AC57="Leve"),AND(AA57="Alta",AC57="Menor")),"Moderado",IF(OR(AND(AA57="Muy Baja",AC57="Mayor"),AND(AA57="Baja",AC57="Mayor"),AND(AA57="Media",AC57="Mayor"),AND(AA57="Alta",AC57="Moderado"),AND(AA57="Alta",AC57="Mayor"),AND(AA57="Muy Alta",AC57="Leve"),AND(AA57="Muy Alta",AC57="Menor"),AND(AA57="Muy Alta",AC57="Moderado"),AND(AA57="Muy Alta",AC57="Mayor")),"Alto",IF(OR(AND(AA57="Muy Baja",AC57="Catastrófico"),AND(AA57="Baja",AC57="Catastrófico"),AND(AA57="Media",AC57="Catastrófico"),AND(AA57="Alta",AC57="Catastrófico"),AND(AA57="Muy Alta",AC57="Catastrófico")),"Extremo","")))),"")</f>
        <v/>
      </c>
      <c r="AF57" s="116"/>
      <c r="AG57" s="121"/>
      <c r="AH57" s="122"/>
      <c r="AI57" s="123"/>
      <c r="AJ57" s="123"/>
      <c r="AK57" s="121"/>
      <c r="AL57" s="122"/>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row>
    <row r="58" spans="1:70" x14ac:dyDescent="0.3">
      <c r="A58" s="212"/>
      <c r="B58" s="139"/>
      <c r="C58" s="139"/>
      <c r="D58" s="213"/>
      <c r="E58" s="208"/>
      <c r="F58" s="141"/>
      <c r="G58" s="213"/>
      <c r="H58" s="140"/>
      <c r="I58" s="214"/>
      <c r="J58" s="204"/>
      <c r="K58" s="205"/>
      <c r="L58" s="207"/>
      <c r="M58" s="205">
        <f ca="1">IF(NOT(ISERROR(MATCH(L58,_xlfn.ANCHORARRAY(E70),0))),K72&amp;"Por favor no seleccionar los criterios de impacto",L58)</f>
        <v>0</v>
      </c>
      <c r="N58" s="204"/>
      <c r="O58" s="205"/>
      <c r="P58" s="206"/>
      <c r="Q58" s="113">
        <v>2</v>
      </c>
      <c r="R58" s="114"/>
      <c r="S58" s="115" t="str">
        <f>IF(OR(T58="Preventivo",T58="Detectivo"),"Probabilidad",IF(T58="Correctivo","Impacto",""))</f>
        <v/>
      </c>
      <c r="T58" s="116"/>
      <c r="U58" s="116"/>
      <c r="V58" s="117" t="str">
        <f t="shared" ref="V58:V62" si="63">IF(AND(T58="Preventivo",U58="Automático"),"50%",IF(AND(T58="Preventivo",U58="Manual"),"40%",IF(AND(T58="Detectivo",U58="Automático"),"40%",IF(AND(T58="Detectivo",U58="Manual"),"30%",IF(AND(T58="Correctivo",U58="Automático"),"35%",IF(AND(T58="Correctivo",U58="Manual"),"25%",""))))))</f>
        <v/>
      </c>
      <c r="W58" s="116"/>
      <c r="X58" s="116"/>
      <c r="Y58" s="116"/>
      <c r="Z58" s="118" t="str">
        <f>IFERROR(IF(AND(S57="Probabilidad",S58="Probabilidad"),(AB57-(+AB57*V58)),IF(S58="Probabilidad",(K57-(+K57*V58)),IF(S58="Impacto",AB57,""))),"")</f>
        <v/>
      </c>
      <c r="AA58" s="119" t="str">
        <f t="shared" si="0"/>
        <v/>
      </c>
      <c r="AB58" s="117" t="str">
        <f t="shared" ref="AB58:AB62" si="64">+Z58</f>
        <v/>
      </c>
      <c r="AC58" s="119" t="str">
        <f t="shared" si="2"/>
        <v/>
      </c>
      <c r="AD58" s="117" t="str">
        <f>IFERROR(IF(AND(S57="Impacto",S58="Impacto"),(AD51-(+AD51*V58)),IF(S58="Impacto",($O$57-(+$O$57*V58)),IF(S58="Probabilidad",AD51,""))),"")</f>
        <v/>
      </c>
      <c r="AE58" s="120" t="str">
        <f t="shared" ref="AE58:AE59" si="65">IFERROR(IF(OR(AND(AA58="Muy Baja",AC58="Leve"),AND(AA58="Muy Baja",AC58="Menor"),AND(AA58="Baja",AC58="Leve")),"Bajo",IF(OR(AND(AA58="Muy baja",AC58="Moderado"),AND(AA58="Baja",AC58="Menor"),AND(AA58="Baja",AC58="Moderado"),AND(AA58="Media",AC58="Leve"),AND(AA58="Media",AC58="Menor"),AND(AA58="Media",AC58="Moderado"),AND(AA58="Alta",AC58="Leve"),AND(AA58="Alta",AC58="Menor")),"Moderado",IF(OR(AND(AA58="Muy Baja",AC58="Mayor"),AND(AA58="Baja",AC58="Mayor"),AND(AA58="Media",AC58="Mayor"),AND(AA58="Alta",AC58="Moderado"),AND(AA58="Alta",AC58="Mayor"),AND(AA58="Muy Alta",AC58="Leve"),AND(AA58="Muy Alta",AC58="Menor"),AND(AA58="Muy Alta",AC58="Moderado"),AND(AA58="Muy Alta",AC58="Mayor")),"Alto",IF(OR(AND(AA58="Muy Baja",AC58="Catastrófico"),AND(AA58="Baja",AC58="Catastrófico"),AND(AA58="Media",AC58="Catastrófico"),AND(AA58="Alta",AC58="Catastrófico"),AND(AA58="Muy Alta",AC58="Catastrófico")),"Extremo","")))),"")</f>
        <v/>
      </c>
      <c r="AF58" s="116"/>
      <c r="AG58" s="121"/>
      <c r="AH58" s="122"/>
      <c r="AI58" s="123"/>
      <c r="AJ58" s="123"/>
      <c r="AK58" s="121"/>
      <c r="AL58" s="122"/>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row>
    <row r="59" spans="1:70" x14ac:dyDescent="0.3">
      <c r="A59" s="212"/>
      <c r="B59" s="139"/>
      <c r="C59" s="139"/>
      <c r="D59" s="213"/>
      <c r="E59" s="208"/>
      <c r="F59" s="141"/>
      <c r="G59" s="213"/>
      <c r="H59" s="140"/>
      <c r="I59" s="214"/>
      <c r="J59" s="204"/>
      <c r="K59" s="205"/>
      <c r="L59" s="207"/>
      <c r="M59" s="205">
        <f ca="1">IF(NOT(ISERROR(MATCH(L59,_xlfn.ANCHORARRAY(E71),0))),K73&amp;"Por favor no seleccionar los criterios de impacto",L59)</f>
        <v>0</v>
      </c>
      <c r="N59" s="204"/>
      <c r="O59" s="205"/>
      <c r="P59" s="206"/>
      <c r="Q59" s="113">
        <v>3</v>
      </c>
      <c r="R59" s="126"/>
      <c r="S59" s="115" t="str">
        <f>IF(OR(T59="Preventivo",T59="Detectivo"),"Probabilidad",IF(T59="Correctivo","Impacto",""))</f>
        <v/>
      </c>
      <c r="T59" s="116"/>
      <c r="U59" s="116"/>
      <c r="V59" s="117" t="str">
        <f t="shared" si="63"/>
        <v/>
      </c>
      <c r="W59" s="116"/>
      <c r="X59" s="116"/>
      <c r="Y59" s="116"/>
      <c r="Z59" s="118" t="str">
        <f>IFERROR(IF(AND(S58="Probabilidad",S59="Probabilidad"),(AB58-(+AB58*V59)),IF(AND(S58="Impacto",S59="Probabilidad"),(AB57-(+AB57*V59)),IF(S59="Impacto",AB58,""))),"")</f>
        <v/>
      </c>
      <c r="AA59" s="119" t="str">
        <f t="shared" si="0"/>
        <v/>
      </c>
      <c r="AB59" s="117" t="str">
        <f t="shared" si="64"/>
        <v/>
      </c>
      <c r="AC59" s="119" t="str">
        <f t="shared" si="2"/>
        <v/>
      </c>
      <c r="AD59" s="117" t="str">
        <f>IFERROR(IF(AND(S58="Impacto",S59="Impacto"),(AD58-(+AD58*V59)),IF(AND(S58="Probabilidad",S59="Impacto"),(AD57-(+AD57*V59)),IF(S59="Probabilidad",AD58,""))),"")</f>
        <v/>
      </c>
      <c r="AE59" s="120" t="str">
        <f t="shared" si="65"/>
        <v/>
      </c>
      <c r="AF59" s="116"/>
      <c r="AG59" s="121"/>
      <c r="AH59" s="122"/>
      <c r="AI59" s="123"/>
      <c r="AJ59" s="123"/>
      <c r="AK59" s="121"/>
      <c r="AL59" s="122"/>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row>
    <row r="60" spans="1:70" x14ac:dyDescent="0.3">
      <c r="A60" s="212"/>
      <c r="B60" s="139"/>
      <c r="C60" s="139"/>
      <c r="D60" s="213"/>
      <c r="E60" s="208"/>
      <c r="F60" s="141"/>
      <c r="G60" s="213"/>
      <c r="H60" s="140"/>
      <c r="I60" s="214"/>
      <c r="J60" s="204"/>
      <c r="K60" s="205"/>
      <c r="L60" s="207"/>
      <c r="M60" s="205">
        <f ca="1">IF(NOT(ISERROR(MATCH(L60,_xlfn.ANCHORARRAY(E72),0))),K74&amp;"Por favor no seleccionar los criterios de impacto",L60)</f>
        <v>0</v>
      </c>
      <c r="N60" s="204"/>
      <c r="O60" s="205"/>
      <c r="P60" s="206"/>
      <c r="Q60" s="113">
        <v>4</v>
      </c>
      <c r="R60" s="114"/>
      <c r="S60" s="115" t="str">
        <f t="shared" ref="S60:S62" si="66">IF(OR(T60="Preventivo",T60="Detectivo"),"Probabilidad",IF(T60="Correctivo","Impacto",""))</f>
        <v/>
      </c>
      <c r="T60" s="116"/>
      <c r="U60" s="116"/>
      <c r="V60" s="117" t="str">
        <f t="shared" si="63"/>
        <v/>
      </c>
      <c r="W60" s="116"/>
      <c r="X60" s="116"/>
      <c r="Y60" s="116"/>
      <c r="Z60" s="118" t="str">
        <f t="shared" ref="Z60:Z62" si="67">IFERROR(IF(AND(S59="Probabilidad",S60="Probabilidad"),(AB59-(+AB59*V60)),IF(AND(S59="Impacto",S60="Probabilidad"),(AB58-(+AB58*V60)),IF(S60="Impacto",AB59,""))),"")</f>
        <v/>
      </c>
      <c r="AA60" s="119" t="str">
        <f t="shared" si="0"/>
        <v/>
      </c>
      <c r="AB60" s="117" t="str">
        <f t="shared" si="64"/>
        <v/>
      </c>
      <c r="AC60" s="119" t="str">
        <f t="shared" si="2"/>
        <v/>
      </c>
      <c r="AD60" s="117" t="str">
        <f t="shared" ref="AD60:AD62" si="68">IFERROR(IF(AND(S59="Impacto",S60="Impacto"),(AD59-(+AD59*V60)),IF(AND(S59="Probabilidad",S60="Impacto"),(AD58-(+AD58*V60)),IF(S60="Probabilidad",AD59,""))),"")</f>
        <v/>
      </c>
      <c r="AE60" s="120" t="str">
        <f>IFERROR(IF(OR(AND(AA60="Muy Baja",AC60="Leve"),AND(AA60="Muy Baja",AC60="Menor"),AND(AA60="Baja",AC60="Leve")),"Bajo",IF(OR(AND(AA60="Muy baja",AC60="Moderado"),AND(AA60="Baja",AC60="Menor"),AND(AA60="Baja",AC60="Moderado"),AND(AA60="Media",AC60="Leve"),AND(AA60="Media",AC60="Menor"),AND(AA60="Media",AC60="Moderado"),AND(AA60="Alta",AC60="Leve"),AND(AA60="Alta",AC60="Menor")),"Moderado",IF(OR(AND(AA60="Muy Baja",AC60="Mayor"),AND(AA60="Baja",AC60="Mayor"),AND(AA60="Media",AC60="Mayor"),AND(AA60="Alta",AC60="Moderado"),AND(AA60="Alta",AC60="Mayor"),AND(AA60="Muy Alta",AC60="Leve"),AND(AA60="Muy Alta",AC60="Menor"),AND(AA60="Muy Alta",AC60="Moderado"),AND(AA60="Muy Alta",AC60="Mayor")),"Alto",IF(OR(AND(AA60="Muy Baja",AC60="Catastrófico"),AND(AA60="Baja",AC60="Catastrófico"),AND(AA60="Media",AC60="Catastrófico"),AND(AA60="Alta",AC60="Catastrófico"),AND(AA60="Muy Alta",AC60="Catastrófico")),"Extremo","")))),"")</f>
        <v/>
      </c>
      <c r="AF60" s="116"/>
      <c r="AG60" s="121"/>
      <c r="AH60" s="122"/>
      <c r="AI60" s="123"/>
      <c r="AJ60" s="123"/>
      <c r="AK60" s="121"/>
      <c r="AL60" s="122"/>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row>
    <row r="61" spans="1:70" x14ac:dyDescent="0.3">
      <c r="A61" s="212"/>
      <c r="B61" s="139"/>
      <c r="C61" s="139"/>
      <c r="D61" s="213"/>
      <c r="E61" s="208"/>
      <c r="F61" s="141"/>
      <c r="G61" s="213"/>
      <c r="H61" s="140"/>
      <c r="I61" s="214"/>
      <c r="J61" s="204"/>
      <c r="K61" s="205"/>
      <c r="L61" s="207"/>
      <c r="M61" s="205">
        <f ca="1">IF(NOT(ISERROR(MATCH(L61,_xlfn.ANCHORARRAY(E73),0))),K75&amp;"Por favor no seleccionar los criterios de impacto",L61)</f>
        <v>0</v>
      </c>
      <c r="N61" s="204"/>
      <c r="O61" s="205"/>
      <c r="P61" s="206"/>
      <c r="Q61" s="113">
        <v>5</v>
      </c>
      <c r="R61" s="114"/>
      <c r="S61" s="115" t="str">
        <f t="shared" si="66"/>
        <v/>
      </c>
      <c r="T61" s="116"/>
      <c r="U61" s="116"/>
      <c r="V61" s="117" t="str">
        <f t="shared" si="63"/>
        <v/>
      </c>
      <c r="W61" s="116"/>
      <c r="X61" s="116"/>
      <c r="Y61" s="116"/>
      <c r="Z61" s="118" t="str">
        <f t="shared" si="67"/>
        <v/>
      </c>
      <c r="AA61" s="119" t="str">
        <f t="shared" si="0"/>
        <v/>
      </c>
      <c r="AB61" s="117" t="str">
        <f t="shared" si="64"/>
        <v/>
      </c>
      <c r="AC61" s="119" t="str">
        <f t="shared" si="2"/>
        <v/>
      </c>
      <c r="AD61" s="117" t="str">
        <f t="shared" si="68"/>
        <v/>
      </c>
      <c r="AE61" s="120" t="str">
        <f t="shared" ref="AE61:AE62" si="69">IFERROR(IF(OR(AND(AA61="Muy Baja",AC61="Leve"),AND(AA61="Muy Baja",AC61="Menor"),AND(AA61="Baja",AC61="Leve")),"Bajo",IF(OR(AND(AA61="Muy baja",AC61="Moderado"),AND(AA61="Baja",AC61="Menor"),AND(AA61="Baja",AC61="Moderado"),AND(AA61="Media",AC61="Leve"),AND(AA61="Media",AC61="Menor"),AND(AA61="Media",AC61="Moderado"),AND(AA61="Alta",AC61="Leve"),AND(AA61="Alta",AC61="Menor")),"Moderado",IF(OR(AND(AA61="Muy Baja",AC61="Mayor"),AND(AA61="Baja",AC61="Mayor"),AND(AA61="Media",AC61="Mayor"),AND(AA61="Alta",AC61="Moderado"),AND(AA61="Alta",AC61="Mayor"),AND(AA61="Muy Alta",AC61="Leve"),AND(AA61="Muy Alta",AC61="Menor"),AND(AA61="Muy Alta",AC61="Moderado"),AND(AA61="Muy Alta",AC61="Mayor")),"Alto",IF(OR(AND(AA61="Muy Baja",AC61="Catastrófico"),AND(AA61="Baja",AC61="Catastrófico"),AND(AA61="Media",AC61="Catastrófico"),AND(AA61="Alta",AC61="Catastrófico"),AND(AA61="Muy Alta",AC61="Catastrófico")),"Extremo","")))),"")</f>
        <v/>
      </c>
      <c r="AF61" s="116"/>
      <c r="AG61" s="121"/>
      <c r="AH61" s="122"/>
      <c r="AI61" s="123"/>
      <c r="AJ61" s="123"/>
      <c r="AK61" s="121"/>
      <c r="AL61" s="122"/>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row>
    <row r="62" spans="1:70" x14ac:dyDescent="0.3">
      <c r="A62" s="212"/>
      <c r="B62" s="139"/>
      <c r="C62" s="139"/>
      <c r="D62" s="213"/>
      <c r="E62" s="208"/>
      <c r="F62" s="141"/>
      <c r="G62" s="213"/>
      <c r="H62" s="140"/>
      <c r="I62" s="214"/>
      <c r="J62" s="204"/>
      <c r="K62" s="205"/>
      <c r="L62" s="207"/>
      <c r="M62" s="205">
        <f ca="1">IF(NOT(ISERROR(MATCH(L62,_xlfn.ANCHORARRAY(E74),0))),K76&amp;"Por favor no seleccionar los criterios de impacto",L62)</f>
        <v>0</v>
      </c>
      <c r="N62" s="204"/>
      <c r="O62" s="205"/>
      <c r="P62" s="206"/>
      <c r="Q62" s="113">
        <v>6</v>
      </c>
      <c r="R62" s="114"/>
      <c r="S62" s="115" t="str">
        <f t="shared" si="66"/>
        <v/>
      </c>
      <c r="T62" s="116"/>
      <c r="U62" s="116"/>
      <c r="V62" s="117" t="str">
        <f t="shared" si="63"/>
        <v/>
      </c>
      <c r="W62" s="116"/>
      <c r="X62" s="116"/>
      <c r="Y62" s="116"/>
      <c r="Z62" s="118" t="str">
        <f t="shared" si="67"/>
        <v/>
      </c>
      <c r="AA62" s="119" t="str">
        <f t="shared" si="0"/>
        <v/>
      </c>
      <c r="AB62" s="117" t="str">
        <f t="shared" si="64"/>
        <v/>
      </c>
      <c r="AC62" s="119" t="str">
        <f t="shared" si="2"/>
        <v/>
      </c>
      <c r="AD62" s="117" t="str">
        <f t="shared" si="68"/>
        <v/>
      </c>
      <c r="AE62" s="120" t="str">
        <f t="shared" si="69"/>
        <v/>
      </c>
      <c r="AF62" s="116"/>
      <c r="AG62" s="121"/>
      <c r="AH62" s="122"/>
      <c r="AI62" s="123"/>
      <c r="AJ62" s="123"/>
      <c r="AK62" s="121"/>
      <c r="AL62" s="122"/>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row>
    <row r="63" spans="1:70" x14ac:dyDescent="0.3">
      <c r="A63" s="212">
        <v>10</v>
      </c>
      <c r="B63" s="139"/>
      <c r="C63" s="139"/>
      <c r="D63" s="213"/>
      <c r="E63" s="208"/>
      <c r="F63" s="141"/>
      <c r="G63" s="213"/>
      <c r="H63" s="140"/>
      <c r="I63" s="214"/>
      <c r="J63" s="204" t="str">
        <f>IF(I63&lt;=0,"",IF(I63&lt;=2,"Muy Baja",IF(I63&lt;=24,"Baja",IF(I63&lt;=500,"Media",IF(I63&lt;=5000,"Alta","Muy Alta")))))</f>
        <v/>
      </c>
      <c r="K63" s="205" t="str">
        <f>IF(J63="","",IF(J63="Muy Baja",0.2,IF(J63="Baja",0.4,IF(J63="Media",0.6,IF(J63="Alta",0.8,IF(J63="Muy Alta",1,))))))</f>
        <v/>
      </c>
      <c r="L63" s="207"/>
      <c r="M63" s="205">
        <f ca="1">IF(NOT(ISERROR(MATCH(L63,'Tabla Impacto'!$B$221:$B$223,0))),'Tabla Impacto'!$F$223&amp;"Por favor no seleccionar los criterios de impacto(Afectación Económica o presupuestal y Pérdida Reputacional)",L63)</f>
        <v>0</v>
      </c>
      <c r="N63" s="204" t="str">
        <f ca="1">IF(OR(M63='Tabla Impacto'!$C$11,M63='Tabla Impacto'!$D$11),"Leve",IF(OR(M63='Tabla Impacto'!$C$12,M63='Tabla Impacto'!$D$12),"Menor",IF(OR(M63='Tabla Impacto'!$C$13,M63='Tabla Impacto'!$D$13),"Moderado",IF(OR(M63='Tabla Impacto'!$C$14,M63='Tabla Impacto'!$D$14),"Mayor",IF(OR(M63='Tabla Impacto'!$C$15,M63='Tabla Impacto'!$D$15),"Catastrófico","")))))</f>
        <v/>
      </c>
      <c r="O63" s="205" t="str">
        <f ca="1">IF(N63="","",IF(N63="Leve",0.2,IF(N63="Menor",0.4,IF(N63="Moderado",0.6,IF(N63="Mayor",0.8,IF(N63="Catastrófico",1,))))))</f>
        <v/>
      </c>
      <c r="P63" s="206" t="str">
        <f ca="1">IF(OR(AND(J63="Muy Baja",N63="Leve"),AND(J63="Muy Baja",N63="Menor"),AND(J63="Baja",N63="Leve")),"Bajo",IF(OR(AND(J63="Muy baja",N63="Moderado"),AND(J63="Baja",N63="Menor"),AND(J63="Baja",N63="Moderado"),AND(J63="Media",N63="Leve"),AND(J63="Media",N63="Menor"),AND(J63="Media",N63="Moderado"),AND(J63="Alta",N63="Leve"),AND(J63="Alta",N63="Menor")),"Moderado",IF(OR(AND(J63="Muy Baja",N63="Mayor"),AND(J63="Baja",N63="Mayor"),AND(J63="Media",N63="Mayor"),AND(J63="Alta",N63="Moderado"),AND(J63="Alta",N63="Mayor"),AND(J63="Muy Alta",N63="Leve"),AND(J63="Muy Alta",N63="Menor"),AND(J63="Muy Alta",N63="Moderado"),AND(J63="Muy Alta",N63="Mayor")),"Alto",IF(OR(AND(J63="Muy Baja",N63="Catastrófico"),AND(J63="Baja",N63="Catastrófico"),AND(J63="Media",N63="Catastrófico"),AND(J63="Alta",N63="Catastrófico"),AND(J63="Muy Alta",N63="Catastrófico")),"Extremo",""))))</f>
        <v/>
      </c>
      <c r="Q63" s="113">
        <v>1</v>
      </c>
      <c r="R63" s="114"/>
      <c r="S63" s="115" t="str">
        <f>IF(OR(T63="Preventivo",T63="Detectivo"),"Probabilidad",IF(T63="Correctivo","Impacto",""))</f>
        <v/>
      </c>
      <c r="T63" s="116"/>
      <c r="U63" s="116"/>
      <c r="V63" s="117" t="str">
        <f>IF(AND(T63="Preventivo",U63="Automático"),"50%",IF(AND(T63="Preventivo",U63="Manual"),"40%",IF(AND(T63="Detectivo",U63="Automático"),"40%",IF(AND(T63="Detectivo",U63="Manual"),"30%",IF(AND(T63="Correctivo",U63="Automático"),"35%",IF(AND(T63="Correctivo",U63="Manual"),"25%",""))))))</f>
        <v/>
      </c>
      <c r="W63" s="116"/>
      <c r="X63" s="116"/>
      <c r="Y63" s="116"/>
      <c r="Z63" s="118" t="str">
        <f>IFERROR(IF(S63="Probabilidad",(K63-(+K63*V63)),IF(S63="Impacto",K63,"")),"")</f>
        <v/>
      </c>
      <c r="AA63" s="119" t="str">
        <f>IFERROR(IF(Z63="","",IF(Z63&lt;=0.2,"Muy Baja",IF(Z63&lt;=0.4,"Baja",IF(Z63&lt;=0.6,"Media",IF(Z63&lt;=0.8,"Alta","Muy Alta"))))),"")</f>
        <v/>
      </c>
      <c r="AB63" s="117" t="str">
        <f>+Z63</f>
        <v/>
      </c>
      <c r="AC63" s="119" t="str">
        <f>IFERROR(IF(AD63="","",IF(AD63&lt;=0.2,"Leve",IF(AD63&lt;=0.4,"Menor",IF(AD63&lt;=0.6,"Moderado",IF(AD63&lt;=0.8,"Mayor","Catastrófico"))))),"")</f>
        <v/>
      </c>
      <c r="AD63" s="117" t="str">
        <f>IFERROR(IF(S63="Impacto",(O63-(+O63*V63)),IF(S63="Probabilidad",O63,"")),"")</f>
        <v/>
      </c>
      <c r="AE63" s="120" t="str">
        <f>IFERROR(IF(OR(AND(AA63="Muy Baja",AC63="Leve"),AND(AA63="Muy Baja",AC63="Menor"),AND(AA63="Baja",AC63="Leve")),"Bajo",IF(OR(AND(AA63="Muy baja",AC63="Moderado"),AND(AA63="Baja",AC63="Menor"),AND(AA63="Baja",AC63="Moderado"),AND(AA63="Media",AC63="Leve"),AND(AA63="Media",AC63="Menor"),AND(AA63="Media",AC63="Moderado"),AND(AA63="Alta",AC63="Leve"),AND(AA63="Alta",AC63="Menor")),"Moderado",IF(OR(AND(AA63="Muy Baja",AC63="Mayor"),AND(AA63="Baja",AC63="Mayor"),AND(AA63="Media",AC63="Mayor"),AND(AA63="Alta",AC63="Moderado"),AND(AA63="Alta",AC63="Mayor"),AND(AA63="Muy Alta",AC63="Leve"),AND(AA63="Muy Alta",AC63="Menor"),AND(AA63="Muy Alta",AC63="Moderado"),AND(AA63="Muy Alta",AC63="Mayor")),"Alto",IF(OR(AND(AA63="Muy Baja",AC63="Catastrófico"),AND(AA63="Baja",AC63="Catastrófico"),AND(AA63="Media",AC63="Catastrófico"),AND(AA63="Alta",AC63="Catastrófico"),AND(AA63="Muy Alta",AC63="Catastrófico")),"Extremo","")))),"")</f>
        <v/>
      </c>
      <c r="AF63" s="116"/>
      <c r="AG63" s="121"/>
      <c r="AH63" s="122"/>
      <c r="AI63" s="123"/>
      <c r="AJ63" s="123"/>
      <c r="AK63" s="121"/>
      <c r="AL63" s="122"/>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row>
    <row r="64" spans="1:70" x14ac:dyDescent="0.3">
      <c r="A64" s="212"/>
      <c r="B64" s="139"/>
      <c r="C64" s="139"/>
      <c r="D64" s="213"/>
      <c r="E64" s="208"/>
      <c r="F64" s="141"/>
      <c r="G64" s="213"/>
      <c r="H64" s="140"/>
      <c r="I64" s="214"/>
      <c r="J64" s="204"/>
      <c r="K64" s="205"/>
      <c r="L64" s="207"/>
      <c r="M64" s="205">
        <f ca="1">IF(NOT(ISERROR(MATCH(L64,_xlfn.ANCHORARRAY(E76),0))),K78&amp;"Por favor no seleccionar los criterios de impacto",L64)</f>
        <v>0</v>
      </c>
      <c r="N64" s="204"/>
      <c r="O64" s="205"/>
      <c r="P64" s="206"/>
      <c r="Q64" s="113">
        <v>2</v>
      </c>
      <c r="R64" s="114"/>
      <c r="S64" s="115" t="str">
        <f>IF(OR(T64="Preventivo",T64="Detectivo"),"Probabilidad",IF(T64="Correctivo","Impacto",""))</f>
        <v/>
      </c>
      <c r="T64" s="116"/>
      <c r="U64" s="116"/>
      <c r="V64" s="117" t="str">
        <f t="shared" ref="V64:V68" si="70">IF(AND(T64="Preventivo",U64="Automático"),"50%",IF(AND(T64="Preventivo",U64="Manual"),"40%",IF(AND(T64="Detectivo",U64="Automático"),"40%",IF(AND(T64="Detectivo",U64="Manual"),"30%",IF(AND(T64="Correctivo",U64="Automático"),"35%",IF(AND(T64="Correctivo",U64="Manual"),"25%",""))))))</f>
        <v/>
      </c>
      <c r="W64" s="116"/>
      <c r="X64" s="116"/>
      <c r="Y64" s="116"/>
      <c r="Z64" s="118" t="str">
        <f>IFERROR(IF(AND(S63="Probabilidad",S64="Probabilidad"),(AB63-(+AB63*V64)),IF(S64="Probabilidad",(K63-(+K63*V64)),IF(S64="Impacto",AB63,""))),"")</f>
        <v/>
      </c>
      <c r="AA64" s="119" t="str">
        <f t="shared" si="0"/>
        <v/>
      </c>
      <c r="AB64" s="117" t="str">
        <f t="shared" ref="AB64:AB68" si="71">+Z64</f>
        <v/>
      </c>
      <c r="AC64" s="119" t="str">
        <f t="shared" si="2"/>
        <v/>
      </c>
      <c r="AD64" s="117" t="str">
        <f>IFERROR(IF(AND(S63="Impacto",S64="Impacto"),(AD57-(+AD57*V64)),IF(S64="Impacto",($O$63-(+$O$63*V64)),IF(S64="Probabilidad",AD57,""))),"")</f>
        <v/>
      </c>
      <c r="AE64" s="120" t="str">
        <f t="shared" ref="AE64:AE65" si="72">IFERROR(IF(OR(AND(AA64="Muy Baja",AC64="Leve"),AND(AA64="Muy Baja",AC64="Menor"),AND(AA64="Baja",AC64="Leve")),"Bajo",IF(OR(AND(AA64="Muy baja",AC64="Moderado"),AND(AA64="Baja",AC64="Menor"),AND(AA64="Baja",AC64="Moderado"),AND(AA64="Media",AC64="Leve"),AND(AA64="Media",AC64="Menor"),AND(AA64="Media",AC64="Moderado"),AND(AA64="Alta",AC64="Leve"),AND(AA64="Alta",AC64="Menor")),"Moderado",IF(OR(AND(AA64="Muy Baja",AC64="Mayor"),AND(AA64="Baja",AC64="Mayor"),AND(AA64="Media",AC64="Mayor"),AND(AA64="Alta",AC64="Moderado"),AND(AA64="Alta",AC64="Mayor"),AND(AA64="Muy Alta",AC64="Leve"),AND(AA64="Muy Alta",AC64="Menor"),AND(AA64="Muy Alta",AC64="Moderado"),AND(AA64="Muy Alta",AC64="Mayor")),"Alto",IF(OR(AND(AA64="Muy Baja",AC64="Catastrófico"),AND(AA64="Baja",AC64="Catastrófico"),AND(AA64="Media",AC64="Catastrófico"),AND(AA64="Alta",AC64="Catastrófico"),AND(AA64="Muy Alta",AC64="Catastrófico")),"Extremo","")))),"")</f>
        <v/>
      </c>
      <c r="AF64" s="116"/>
      <c r="AG64" s="121"/>
      <c r="AH64" s="122"/>
      <c r="AI64" s="123"/>
      <c r="AJ64" s="123"/>
      <c r="AK64" s="121"/>
      <c r="AL64" s="122"/>
    </row>
    <row r="65" spans="1:38" x14ac:dyDescent="0.3">
      <c r="A65" s="212"/>
      <c r="B65" s="139"/>
      <c r="C65" s="139"/>
      <c r="D65" s="213"/>
      <c r="E65" s="208"/>
      <c r="F65" s="141"/>
      <c r="G65" s="213"/>
      <c r="H65" s="140"/>
      <c r="I65" s="214"/>
      <c r="J65" s="204"/>
      <c r="K65" s="205"/>
      <c r="L65" s="207"/>
      <c r="M65" s="205">
        <f ca="1">IF(NOT(ISERROR(MATCH(L65,_xlfn.ANCHORARRAY(E77),0))),K79&amp;"Por favor no seleccionar los criterios de impacto",L65)</f>
        <v>0</v>
      </c>
      <c r="N65" s="204"/>
      <c r="O65" s="205"/>
      <c r="P65" s="206"/>
      <c r="Q65" s="113">
        <v>3</v>
      </c>
      <c r="R65" s="126"/>
      <c r="S65" s="115" t="str">
        <f>IF(OR(T65="Preventivo",T65="Detectivo"),"Probabilidad",IF(T65="Correctivo","Impacto",""))</f>
        <v/>
      </c>
      <c r="T65" s="116"/>
      <c r="U65" s="116"/>
      <c r="V65" s="117" t="str">
        <f t="shared" si="70"/>
        <v/>
      </c>
      <c r="W65" s="116"/>
      <c r="X65" s="116"/>
      <c r="Y65" s="116"/>
      <c r="Z65" s="118" t="str">
        <f>IFERROR(IF(AND(S64="Probabilidad",S65="Probabilidad"),(AB64-(+AB64*V65)),IF(AND(S64="Impacto",S65="Probabilidad"),(AB63-(+AB63*V65)),IF(S65="Impacto",AB64,""))),"")</f>
        <v/>
      </c>
      <c r="AA65" s="119" t="str">
        <f t="shared" si="0"/>
        <v/>
      </c>
      <c r="AB65" s="117" t="str">
        <f t="shared" si="71"/>
        <v/>
      </c>
      <c r="AC65" s="119" t="str">
        <f t="shared" si="2"/>
        <v/>
      </c>
      <c r="AD65" s="117" t="str">
        <f>IFERROR(IF(AND(S64="Impacto",S65="Impacto"),(AD64-(+AD64*V65)),IF(AND(S64="Probabilidad",S65="Impacto"),(AD63-(+AD63*V65)),IF(S65="Probabilidad",AD64,""))),"")</f>
        <v/>
      </c>
      <c r="AE65" s="120" t="str">
        <f t="shared" si="72"/>
        <v/>
      </c>
      <c r="AF65" s="116"/>
      <c r="AG65" s="121"/>
      <c r="AH65" s="122"/>
      <c r="AI65" s="123"/>
      <c r="AJ65" s="123"/>
      <c r="AK65" s="121"/>
      <c r="AL65" s="122"/>
    </row>
    <row r="66" spans="1:38" x14ac:dyDescent="0.3">
      <c r="A66" s="212"/>
      <c r="B66" s="139"/>
      <c r="C66" s="139"/>
      <c r="D66" s="213"/>
      <c r="E66" s="208"/>
      <c r="F66" s="141"/>
      <c r="G66" s="213"/>
      <c r="H66" s="140"/>
      <c r="I66" s="214"/>
      <c r="J66" s="204"/>
      <c r="K66" s="205"/>
      <c r="L66" s="207"/>
      <c r="M66" s="205">
        <f ca="1">IF(NOT(ISERROR(MATCH(L66,_xlfn.ANCHORARRAY(E78),0))),K80&amp;"Por favor no seleccionar los criterios de impacto",L66)</f>
        <v>0</v>
      </c>
      <c r="N66" s="204"/>
      <c r="O66" s="205"/>
      <c r="P66" s="206"/>
      <c r="Q66" s="113">
        <v>4</v>
      </c>
      <c r="R66" s="114"/>
      <c r="S66" s="115" t="str">
        <f t="shared" ref="S66:S68" si="73">IF(OR(T66="Preventivo",T66="Detectivo"),"Probabilidad",IF(T66="Correctivo","Impacto",""))</f>
        <v/>
      </c>
      <c r="T66" s="116"/>
      <c r="U66" s="116"/>
      <c r="V66" s="117" t="str">
        <f t="shared" si="70"/>
        <v/>
      </c>
      <c r="W66" s="116"/>
      <c r="X66" s="116"/>
      <c r="Y66" s="116"/>
      <c r="Z66" s="118" t="str">
        <f t="shared" ref="Z66:Z68" si="74">IFERROR(IF(AND(S65="Probabilidad",S66="Probabilidad"),(AB65-(+AB65*V66)),IF(AND(S65="Impacto",S66="Probabilidad"),(AB64-(+AB64*V66)),IF(S66="Impacto",AB65,""))),"")</f>
        <v/>
      </c>
      <c r="AA66" s="119" t="str">
        <f t="shared" si="0"/>
        <v/>
      </c>
      <c r="AB66" s="117" t="str">
        <f t="shared" si="71"/>
        <v/>
      </c>
      <c r="AC66" s="119" t="str">
        <f t="shared" si="2"/>
        <v/>
      </c>
      <c r="AD66" s="117" t="str">
        <f t="shared" ref="AD66:AD68" si="75">IFERROR(IF(AND(S65="Impacto",S66="Impacto"),(AD65-(+AD65*V66)),IF(AND(S65="Probabilidad",S66="Impacto"),(AD64-(+AD64*V66)),IF(S66="Probabilidad",AD65,""))),"")</f>
        <v/>
      </c>
      <c r="AE66" s="120" t="str">
        <f>IFERROR(IF(OR(AND(AA66="Muy Baja",AC66="Leve"),AND(AA66="Muy Baja",AC66="Menor"),AND(AA66="Baja",AC66="Leve")),"Bajo",IF(OR(AND(AA66="Muy baja",AC66="Moderado"),AND(AA66="Baja",AC66="Menor"),AND(AA66="Baja",AC66="Moderado"),AND(AA66="Media",AC66="Leve"),AND(AA66="Media",AC66="Menor"),AND(AA66="Media",AC66="Moderado"),AND(AA66="Alta",AC66="Leve"),AND(AA66="Alta",AC66="Menor")),"Moderado",IF(OR(AND(AA66="Muy Baja",AC66="Mayor"),AND(AA66="Baja",AC66="Mayor"),AND(AA66="Media",AC66="Mayor"),AND(AA66="Alta",AC66="Moderado"),AND(AA66="Alta",AC66="Mayor"),AND(AA66="Muy Alta",AC66="Leve"),AND(AA66="Muy Alta",AC66="Menor"),AND(AA66="Muy Alta",AC66="Moderado"),AND(AA66="Muy Alta",AC66="Mayor")),"Alto",IF(OR(AND(AA66="Muy Baja",AC66="Catastrófico"),AND(AA66="Baja",AC66="Catastrófico"),AND(AA66="Media",AC66="Catastrófico"),AND(AA66="Alta",AC66="Catastrófico"),AND(AA66="Muy Alta",AC66="Catastrófico")),"Extremo","")))),"")</f>
        <v/>
      </c>
      <c r="AF66" s="116"/>
      <c r="AG66" s="121"/>
      <c r="AH66" s="122"/>
      <c r="AI66" s="123"/>
      <c r="AJ66" s="123"/>
      <c r="AK66" s="121"/>
      <c r="AL66" s="122"/>
    </row>
    <row r="67" spans="1:38" x14ac:dyDescent="0.3">
      <c r="A67" s="212"/>
      <c r="B67" s="139"/>
      <c r="C67" s="139"/>
      <c r="D67" s="213"/>
      <c r="E67" s="208"/>
      <c r="F67" s="141"/>
      <c r="G67" s="213"/>
      <c r="H67" s="140"/>
      <c r="I67" s="214"/>
      <c r="J67" s="204"/>
      <c r="K67" s="205"/>
      <c r="L67" s="207"/>
      <c r="M67" s="205">
        <f ca="1">IF(NOT(ISERROR(MATCH(L67,_xlfn.ANCHORARRAY(E79),0))),K81&amp;"Por favor no seleccionar los criterios de impacto",L67)</f>
        <v>0</v>
      </c>
      <c r="N67" s="204"/>
      <c r="O67" s="205"/>
      <c r="P67" s="206"/>
      <c r="Q67" s="113">
        <v>5</v>
      </c>
      <c r="R67" s="114"/>
      <c r="S67" s="115" t="str">
        <f t="shared" si="73"/>
        <v/>
      </c>
      <c r="T67" s="116"/>
      <c r="U67" s="116"/>
      <c r="V67" s="117" t="str">
        <f t="shared" si="70"/>
        <v/>
      </c>
      <c r="W67" s="116"/>
      <c r="X67" s="116"/>
      <c r="Y67" s="116"/>
      <c r="Z67" s="118" t="str">
        <f t="shared" si="74"/>
        <v/>
      </c>
      <c r="AA67" s="119" t="str">
        <f t="shared" si="0"/>
        <v/>
      </c>
      <c r="AB67" s="117" t="str">
        <f t="shared" si="71"/>
        <v/>
      </c>
      <c r="AC67" s="119" t="str">
        <f t="shared" si="2"/>
        <v/>
      </c>
      <c r="AD67" s="117" t="str">
        <f t="shared" si="75"/>
        <v/>
      </c>
      <c r="AE67" s="120" t="str">
        <f t="shared" ref="AE67:AE68" si="76">IFERROR(IF(OR(AND(AA67="Muy Baja",AC67="Leve"),AND(AA67="Muy Baja",AC67="Menor"),AND(AA67="Baja",AC67="Leve")),"Bajo",IF(OR(AND(AA67="Muy baja",AC67="Moderado"),AND(AA67="Baja",AC67="Menor"),AND(AA67="Baja",AC67="Moderado"),AND(AA67="Media",AC67="Leve"),AND(AA67="Media",AC67="Menor"),AND(AA67="Media",AC67="Moderado"),AND(AA67="Alta",AC67="Leve"),AND(AA67="Alta",AC67="Menor")),"Moderado",IF(OR(AND(AA67="Muy Baja",AC67="Mayor"),AND(AA67="Baja",AC67="Mayor"),AND(AA67="Media",AC67="Mayor"),AND(AA67="Alta",AC67="Moderado"),AND(AA67="Alta",AC67="Mayor"),AND(AA67="Muy Alta",AC67="Leve"),AND(AA67="Muy Alta",AC67="Menor"),AND(AA67="Muy Alta",AC67="Moderado"),AND(AA67="Muy Alta",AC67="Mayor")),"Alto",IF(OR(AND(AA67="Muy Baja",AC67="Catastrófico"),AND(AA67="Baja",AC67="Catastrófico"),AND(AA67="Media",AC67="Catastrófico"),AND(AA67="Alta",AC67="Catastrófico"),AND(AA67="Muy Alta",AC67="Catastrófico")),"Extremo","")))),"")</f>
        <v/>
      </c>
      <c r="AF67" s="116"/>
      <c r="AG67" s="121"/>
      <c r="AH67" s="122"/>
      <c r="AI67" s="123"/>
      <c r="AJ67" s="123"/>
      <c r="AK67" s="121"/>
      <c r="AL67" s="122"/>
    </row>
    <row r="68" spans="1:38" x14ac:dyDescent="0.3">
      <c r="A68" s="212"/>
      <c r="B68" s="139"/>
      <c r="C68" s="139"/>
      <c r="D68" s="213"/>
      <c r="E68" s="208"/>
      <c r="F68" s="141"/>
      <c r="G68" s="213"/>
      <c r="H68" s="140"/>
      <c r="I68" s="214"/>
      <c r="J68" s="204"/>
      <c r="K68" s="205"/>
      <c r="L68" s="207"/>
      <c r="M68" s="205">
        <f ca="1">IF(NOT(ISERROR(MATCH(L68,_xlfn.ANCHORARRAY(E80),0))),K82&amp;"Por favor no seleccionar los criterios de impacto",L68)</f>
        <v>0</v>
      </c>
      <c r="N68" s="204"/>
      <c r="O68" s="205"/>
      <c r="P68" s="206"/>
      <c r="Q68" s="113">
        <v>6</v>
      </c>
      <c r="R68" s="114"/>
      <c r="S68" s="115" t="str">
        <f t="shared" si="73"/>
        <v/>
      </c>
      <c r="T68" s="116"/>
      <c r="U68" s="116"/>
      <c r="V68" s="117" t="str">
        <f t="shared" si="70"/>
        <v/>
      </c>
      <c r="W68" s="116"/>
      <c r="X68" s="116"/>
      <c r="Y68" s="116"/>
      <c r="Z68" s="118" t="str">
        <f t="shared" si="74"/>
        <v/>
      </c>
      <c r="AA68" s="119" t="str">
        <f t="shared" si="0"/>
        <v/>
      </c>
      <c r="AB68" s="117" t="str">
        <f t="shared" si="71"/>
        <v/>
      </c>
      <c r="AC68" s="119" t="str">
        <f t="shared" si="2"/>
        <v/>
      </c>
      <c r="AD68" s="117" t="str">
        <f t="shared" si="75"/>
        <v/>
      </c>
      <c r="AE68" s="120" t="str">
        <f t="shared" si="76"/>
        <v/>
      </c>
      <c r="AF68" s="116"/>
      <c r="AG68" s="121"/>
      <c r="AH68" s="122"/>
      <c r="AI68" s="123"/>
      <c r="AJ68" s="123"/>
      <c r="AK68" s="121"/>
      <c r="AL68" s="122"/>
    </row>
    <row r="69" spans="1:38" x14ac:dyDescent="0.3">
      <c r="A69" s="212">
        <v>1</v>
      </c>
      <c r="B69" s="139"/>
      <c r="C69" s="139"/>
      <c r="D69" s="213"/>
      <c r="E69" s="208"/>
      <c r="F69" s="141"/>
      <c r="G69" s="213"/>
      <c r="H69" s="140"/>
      <c r="I69" s="214"/>
      <c r="J69" s="204" t="str">
        <f>IF(I69&lt;=0,"",IF(I69&lt;=2,"Muy Baja",IF(I69&lt;=24,"Baja",IF(I69&lt;=500,"Media",IF(I69&lt;=5000,"Alta","Muy Alta")))))</f>
        <v/>
      </c>
      <c r="K69" s="205" t="str">
        <f>IF(J69="","",IF(J69="Muy Baja",0.2,IF(J69="Baja",0.4,IF(J69="Media",0.6,IF(J69="Alta",0.8,IF(J69="Muy Alta",1,))))))</f>
        <v/>
      </c>
      <c r="L69" s="207"/>
      <c r="M69" s="205">
        <f ca="1">IF(NOT(ISERROR(MATCH(L69,'Tabla Impacto'!$B$221:$B$223,0))),'Tabla Impacto'!$F$223&amp;"Por favor no seleccionar los criterios de impacto(Afectación Económica o presupuestal y Pérdida Reputacional)",L69)</f>
        <v>0</v>
      </c>
      <c r="N69" s="204" t="str">
        <f ca="1">IF(OR(M69='Tabla Impacto'!$C$11,M69='Tabla Impacto'!$D$11),"Leve",IF(OR(M69='Tabla Impacto'!$C$12,M69='Tabla Impacto'!$D$12),"Menor",IF(OR(M69='Tabla Impacto'!$C$13,M69='Tabla Impacto'!$D$13),"Moderado",IF(OR(M69='Tabla Impacto'!$C$14,M69='Tabla Impacto'!$D$14),"Mayor",IF(OR(M69='Tabla Impacto'!$C$15,M69='Tabla Impacto'!$D$15),"Catastrófico","")))))</f>
        <v/>
      </c>
      <c r="O69" s="205" t="str">
        <f ca="1">IF(N69="","",IF(N69="Leve",0.2,IF(N69="Menor",0.4,IF(N69="Moderado",0.6,IF(N69="Mayor",0.8,IF(N69="Catastrófico",1,))))))</f>
        <v/>
      </c>
      <c r="P69" s="206" t="str">
        <f ca="1">IF(OR(AND(J69="Muy Baja",N69="Leve"),AND(J69="Muy Baja",N69="Menor"),AND(J69="Baja",N69="Leve")),"Bajo",IF(OR(AND(J69="Muy baja",N69="Moderado"),AND(J69="Baja",N69="Menor"),AND(J69="Baja",N69="Moderado"),AND(J69="Media",N69="Leve"),AND(J69="Media",N69="Menor"),AND(J69="Media",N69="Moderado"),AND(J69="Alta",N69="Leve"),AND(J69="Alta",N69="Menor")),"Moderado",IF(OR(AND(J69="Muy Baja",N69="Mayor"),AND(J69="Baja",N69="Mayor"),AND(J69="Media",N69="Mayor"),AND(J69="Alta",N69="Moderado"),AND(J69="Alta",N69="Mayor"),AND(J69="Muy Alta",N69="Leve"),AND(J69="Muy Alta",N69="Menor"),AND(J69="Muy Alta",N69="Moderado"),AND(J69="Muy Alta",N69="Mayor")),"Alto",IF(OR(AND(J69="Muy Baja",N69="Catastrófico"),AND(J69="Baja",N69="Catastrófico"),AND(J69="Media",N69="Catastrófico"),AND(J69="Alta",N69="Catastrófico"),AND(J69="Muy Alta",N69="Catastrófico")),"Extremo",""))))</f>
        <v/>
      </c>
      <c r="Q69" s="113">
        <v>1</v>
      </c>
      <c r="R69" s="114"/>
      <c r="S69" s="115" t="str">
        <f>IF(OR(T69="Preventivo",T69="Detectivo"),"Probabilidad",IF(T69="Correctivo","Impacto",""))</f>
        <v/>
      </c>
      <c r="T69" s="116"/>
      <c r="U69" s="116"/>
      <c r="V69" s="117" t="str">
        <f>IF(AND(T69="Preventivo",U69="Automático"),"50%",IF(AND(T69="Preventivo",U69="Manual"),"40%",IF(AND(T69="Detectivo",U69="Automático"),"40%",IF(AND(T69="Detectivo",U69="Manual"),"30%",IF(AND(T69="Correctivo",U69="Automático"),"35%",IF(AND(T69="Correctivo",U69="Manual"),"25%",""))))))</f>
        <v/>
      </c>
      <c r="W69" s="116"/>
      <c r="X69" s="116"/>
      <c r="Y69" s="116"/>
      <c r="Z69" s="118" t="str">
        <f>IFERROR(IF(S69="Probabilidad",(K69-(+K69*V69)),IF(S69="Impacto",K69,"")),"")</f>
        <v/>
      </c>
      <c r="AA69" s="119" t="str">
        <f>IFERROR(IF(Z69="","",IF(Z69&lt;=0.2,"Muy Baja",IF(Z69&lt;=0.4,"Baja",IF(Z69&lt;=0.6,"Media",IF(Z69&lt;=0.8,"Alta","Muy Alta"))))),"")</f>
        <v/>
      </c>
      <c r="AB69" s="117" t="str">
        <f>+Z69</f>
        <v/>
      </c>
      <c r="AC69" s="119" t="str">
        <f>IFERROR(IF(AD69="","",IF(AD69&lt;=0.2,"Leve",IF(AD69&lt;=0.4,"Menor",IF(AD69&lt;=0.6,"Moderado",IF(AD69&lt;=0.8,"Mayor","Catastrófico"))))),"")</f>
        <v/>
      </c>
      <c r="AD69" s="117" t="str">
        <f>IFERROR(IF(S69="Impacto",(O69-(+O69*V69)),IF(S69="Probabilidad",O69,"")),"")</f>
        <v/>
      </c>
      <c r="AE69" s="120" t="str">
        <f>IFERROR(IF(OR(AND(AA69="Muy Baja",AC69="Leve"),AND(AA69="Muy Baja",AC69="Menor"),AND(AA69="Baja",AC69="Leve")),"Bajo",IF(OR(AND(AA69="Muy baja",AC69="Moderado"),AND(AA69="Baja",AC69="Menor"),AND(AA69="Baja",AC69="Moderado"),AND(AA69="Media",AC69="Leve"),AND(AA69="Media",AC69="Menor"),AND(AA69="Media",AC69="Moderado"),AND(AA69="Alta",AC69="Leve"),AND(AA69="Alta",AC69="Menor")),"Moderado",IF(OR(AND(AA69="Muy Baja",AC69="Mayor"),AND(AA69="Baja",AC69="Mayor"),AND(AA69="Media",AC69="Mayor"),AND(AA69="Alta",AC69="Moderado"),AND(AA69="Alta",AC69="Mayor"),AND(AA69="Muy Alta",AC69="Leve"),AND(AA69="Muy Alta",AC69="Menor"),AND(AA69="Muy Alta",AC69="Moderado"),AND(AA69="Muy Alta",AC69="Mayor")),"Alto",IF(OR(AND(AA69="Muy Baja",AC69="Catastrófico"),AND(AA69="Baja",AC69="Catastrófico"),AND(AA69="Media",AC69="Catastrófico"),AND(AA69="Alta",AC69="Catastrófico"),AND(AA69="Muy Alta",AC69="Catastrófico")),"Extremo","")))),"")</f>
        <v/>
      </c>
      <c r="AF69" s="116"/>
      <c r="AG69" s="121"/>
      <c r="AH69" s="122"/>
      <c r="AI69" s="123"/>
      <c r="AJ69" s="123"/>
      <c r="AK69" s="121"/>
      <c r="AL69" s="122"/>
    </row>
    <row r="70" spans="1:38" ht="49.5" customHeight="1" x14ac:dyDescent="0.3">
      <c r="A70" s="212"/>
      <c r="B70" s="139"/>
      <c r="C70" s="139"/>
      <c r="D70" s="213"/>
      <c r="E70" s="208"/>
      <c r="F70" s="141"/>
      <c r="G70" s="213"/>
      <c r="H70" s="140"/>
      <c r="I70" s="214"/>
      <c r="J70" s="204"/>
      <c r="K70" s="205"/>
      <c r="L70" s="207"/>
      <c r="M70" s="205">
        <f ca="1">IF(NOT(ISERROR(MATCH(L70,_xlfn.ANCHORARRAY(E81),0))),K83&amp;"Por favor no seleccionar los criterios de impacto",L70)</f>
        <v>0</v>
      </c>
      <c r="N70" s="204"/>
      <c r="O70" s="205"/>
      <c r="P70" s="206"/>
      <c r="Q70" s="113">
        <v>2</v>
      </c>
      <c r="R70" s="114"/>
      <c r="S70" s="115" t="str">
        <f>IF(OR(T70="Preventivo",T70="Detectivo"),"Probabilidad",IF(T70="Correctivo","Impacto",""))</f>
        <v/>
      </c>
      <c r="T70" s="116"/>
      <c r="U70" s="116"/>
      <c r="V70" s="117" t="str">
        <f t="shared" ref="V70:V74" si="77">IF(AND(T70="Preventivo",U70="Automático"),"50%",IF(AND(T70="Preventivo",U70="Manual"),"40%",IF(AND(T70="Detectivo",U70="Automático"),"40%",IF(AND(T70="Detectivo",U70="Manual"),"30%",IF(AND(T70="Correctivo",U70="Automático"),"35%",IF(AND(T70="Correctivo",U70="Manual"),"25%",""))))))</f>
        <v/>
      </c>
      <c r="W70" s="116"/>
      <c r="X70" s="116"/>
      <c r="Y70" s="116"/>
      <c r="Z70" s="118" t="str">
        <f>IFERROR(IF(AND(S69="Probabilidad",S70="Probabilidad"),(AB69-(+AB69*V70)),IF(S70="Probabilidad",(K69-(+K69*V70)),IF(S70="Impacto",AB69,""))),"")</f>
        <v/>
      </c>
      <c r="AA70" s="119" t="str">
        <f t="shared" ref="AA70:AA74" si="78">IFERROR(IF(Z70="","",IF(Z70&lt;=0.2,"Muy Baja",IF(Z70&lt;=0.4,"Baja",IF(Z70&lt;=0.6,"Media",IF(Z70&lt;=0.8,"Alta","Muy Alta"))))),"")</f>
        <v/>
      </c>
      <c r="AB70" s="117" t="str">
        <f t="shared" ref="AB70:AB74" si="79">+Z70</f>
        <v/>
      </c>
      <c r="AC70" s="119" t="str">
        <f t="shared" ref="AC70:AC74" si="80">IFERROR(IF(AD70="","",IF(AD70&lt;=0.2,"Leve",IF(AD70&lt;=0.4,"Menor",IF(AD70&lt;=0.6,"Moderado",IF(AD70&lt;=0.8,"Mayor","Catastrófico"))))),"")</f>
        <v/>
      </c>
      <c r="AD70" s="117" t="str">
        <f>IFERROR(IF(AND(S69="Impacto",S70="Impacto"),(AD69-(+AD69*V70)),IF(S70="Impacto",($O$9-(+$O$9*V70)),IF(S70="Probabilidad",AD69,""))),"")</f>
        <v/>
      </c>
      <c r="AE70" s="120" t="str">
        <f t="shared" ref="AE70:AE71" si="81">IFERROR(IF(OR(AND(AA70="Muy Baja",AC70="Leve"),AND(AA70="Muy Baja",AC70="Menor"),AND(AA70="Baja",AC70="Leve")),"Bajo",IF(OR(AND(AA70="Muy baja",AC70="Moderado"),AND(AA70="Baja",AC70="Menor"),AND(AA70="Baja",AC70="Moderado"),AND(AA70="Media",AC70="Leve"),AND(AA70="Media",AC70="Menor"),AND(AA70="Media",AC70="Moderado"),AND(AA70="Alta",AC70="Leve"),AND(AA70="Alta",AC70="Menor")),"Moderado",IF(OR(AND(AA70="Muy Baja",AC70="Mayor"),AND(AA70="Baja",AC70="Mayor"),AND(AA70="Media",AC70="Mayor"),AND(AA70="Alta",AC70="Moderado"),AND(AA70="Alta",AC70="Mayor"),AND(AA70="Muy Alta",AC70="Leve"),AND(AA70="Muy Alta",AC70="Menor"),AND(AA70="Muy Alta",AC70="Moderado"),AND(AA70="Muy Alta",AC70="Mayor")),"Alto",IF(OR(AND(AA70="Muy Baja",AC70="Catastrófico"),AND(AA70="Baja",AC70="Catastrófico"),AND(AA70="Media",AC70="Catastrófico"),AND(AA70="Alta",AC70="Catastrófico"),AND(AA70="Muy Alta",AC70="Catastrófico")),"Extremo","")))),"")</f>
        <v/>
      </c>
      <c r="AF70" s="116"/>
      <c r="AG70" s="121"/>
      <c r="AH70" s="122"/>
      <c r="AI70" s="123"/>
      <c r="AJ70" s="123"/>
      <c r="AK70" s="121"/>
      <c r="AL70" s="122"/>
    </row>
    <row r="71" spans="1:38" x14ac:dyDescent="0.3">
      <c r="A71" s="212"/>
      <c r="B71" s="139"/>
      <c r="C71" s="139"/>
      <c r="D71" s="213"/>
      <c r="E71" s="208"/>
      <c r="F71" s="141"/>
      <c r="G71" s="213"/>
      <c r="H71" s="140"/>
      <c r="I71" s="214"/>
      <c r="J71" s="204"/>
      <c r="K71" s="205"/>
      <c r="L71" s="207"/>
      <c r="M71" s="205">
        <f ca="1">IF(NOT(ISERROR(MATCH(L71,_xlfn.ANCHORARRAY(E82),0))),K84&amp;"Por favor no seleccionar los criterios de impacto",L71)</f>
        <v>0</v>
      </c>
      <c r="N71" s="204"/>
      <c r="O71" s="205"/>
      <c r="P71" s="206"/>
      <c r="Q71" s="113">
        <v>3</v>
      </c>
      <c r="R71" s="126"/>
      <c r="S71" s="115" t="str">
        <f>IF(OR(T71="Preventivo",T71="Detectivo"),"Probabilidad",IF(T71="Correctivo","Impacto",""))</f>
        <v/>
      </c>
      <c r="T71" s="116"/>
      <c r="U71" s="116"/>
      <c r="V71" s="117" t="str">
        <f t="shared" si="77"/>
        <v/>
      </c>
      <c r="W71" s="116"/>
      <c r="X71" s="116"/>
      <c r="Y71" s="116"/>
      <c r="Z71" s="118" t="str">
        <f>IFERROR(IF(AND(S70="Probabilidad",S71="Probabilidad"),(AB70-(+AB70*V71)),IF(AND(S70="Impacto",S71="Probabilidad"),(AB69-(+AB69*V71)),IF(S71="Impacto",AB70,""))),"")</f>
        <v/>
      </c>
      <c r="AA71" s="119" t="str">
        <f t="shared" si="78"/>
        <v/>
      </c>
      <c r="AB71" s="117" t="str">
        <f t="shared" si="79"/>
        <v/>
      </c>
      <c r="AC71" s="119" t="str">
        <f t="shared" si="80"/>
        <v/>
      </c>
      <c r="AD71" s="117" t="str">
        <f>IFERROR(IF(AND(S70="Impacto",S71="Impacto"),(AD70-(+AD70*V71)),IF(AND(S70="Probabilidad",S71="Impacto"),(AD69-(+AD69*V71)),IF(S71="Probabilidad",AD70,""))),"")</f>
        <v/>
      </c>
      <c r="AE71" s="120" t="str">
        <f t="shared" si="81"/>
        <v/>
      </c>
      <c r="AF71" s="116"/>
      <c r="AG71" s="121"/>
      <c r="AH71" s="122"/>
      <c r="AI71" s="123"/>
      <c r="AJ71" s="123"/>
      <c r="AK71" s="121"/>
      <c r="AL71" s="122"/>
    </row>
    <row r="72" spans="1:38" x14ac:dyDescent="0.3">
      <c r="A72" s="212"/>
      <c r="B72" s="139"/>
      <c r="C72" s="139"/>
      <c r="D72" s="213"/>
      <c r="E72" s="208"/>
      <c r="F72" s="141"/>
      <c r="G72" s="213"/>
      <c r="H72" s="140"/>
      <c r="I72" s="214"/>
      <c r="J72" s="204"/>
      <c r="K72" s="205"/>
      <c r="L72" s="207"/>
      <c r="M72" s="205">
        <f ca="1">IF(NOT(ISERROR(MATCH(L72,_xlfn.ANCHORARRAY(E83),0))),K85&amp;"Por favor no seleccionar los criterios de impacto",L72)</f>
        <v>0</v>
      </c>
      <c r="N72" s="204"/>
      <c r="O72" s="205"/>
      <c r="P72" s="206"/>
      <c r="Q72" s="113">
        <v>4</v>
      </c>
      <c r="R72" s="114"/>
      <c r="S72" s="115" t="str">
        <f t="shared" ref="S72:S74" si="82">IF(OR(T72="Preventivo",T72="Detectivo"),"Probabilidad",IF(T72="Correctivo","Impacto",""))</f>
        <v/>
      </c>
      <c r="T72" s="116"/>
      <c r="U72" s="116"/>
      <c r="V72" s="117" t="str">
        <f t="shared" si="77"/>
        <v/>
      </c>
      <c r="W72" s="116"/>
      <c r="X72" s="116"/>
      <c r="Y72" s="116"/>
      <c r="Z72" s="118" t="str">
        <f t="shared" ref="Z72:Z74" si="83">IFERROR(IF(AND(S71="Probabilidad",S72="Probabilidad"),(AB71-(+AB71*V72)),IF(AND(S71="Impacto",S72="Probabilidad"),(AB70-(+AB70*V72)),IF(S72="Impacto",AB71,""))),"")</f>
        <v/>
      </c>
      <c r="AA72" s="119" t="str">
        <f t="shared" si="78"/>
        <v/>
      </c>
      <c r="AB72" s="117" t="str">
        <f t="shared" si="79"/>
        <v/>
      </c>
      <c r="AC72" s="119" t="str">
        <f t="shared" si="80"/>
        <v/>
      </c>
      <c r="AD72" s="117" t="str">
        <f t="shared" ref="AD72:AD74" si="84">IFERROR(IF(AND(S71="Impacto",S72="Impacto"),(AD71-(+AD71*V72)),IF(AND(S71="Probabilidad",S72="Impacto"),(AD70-(+AD70*V72)),IF(S72="Probabilidad",AD71,""))),"")</f>
        <v/>
      </c>
      <c r="AE72" s="120" t="str">
        <f>IFERROR(IF(OR(AND(AA72="Muy Baja",AC72="Leve"),AND(AA72="Muy Baja",AC72="Menor"),AND(AA72="Baja",AC72="Leve")),"Bajo",IF(OR(AND(AA72="Muy baja",AC72="Moderado"),AND(AA72="Baja",AC72="Menor"),AND(AA72="Baja",AC72="Moderado"),AND(AA72="Media",AC72="Leve"),AND(AA72="Media",AC72="Menor"),AND(AA72="Media",AC72="Moderado"),AND(AA72="Alta",AC72="Leve"),AND(AA72="Alta",AC72="Menor")),"Moderado",IF(OR(AND(AA72="Muy Baja",AC72="Mayor"),AND(AA72="Baja",AC72="Mayor"),AND(AA72="Media",AC72="Mayor"),AND(AA72="Alta",AC72="Moderado"),AND(AA72="Alta",AC72="Mayor"),AND(AA72="Muy Alta",AC72="Leve"),AND(AA72="Muy Alta",AC72="Menor"),AND(AA72="Muy Alta",AC72="Moderado"),AND(AA72="Muy Alta",AC72="Mayor")),"Alto",IF(OR(AND(AA72="Muy Baja",AC72="Catastrófico"),AND(AA72="Baja",AC72="Catastrófico"),AND(AA72="Media",AC72="Catastrófico"),AND(AA72="Alta",AC72="Catastrófico"),AND(AA72="Muy Alta",AC72="Catastrófico")),"Extremo","")))),"")</f>
        <v/>
      </c>
      <c r="AF72" s="116"/>
      <c r="AG72" s="121"/>
      <c r="AH72" s="122"/>
      <c r="AI72" s="123"/>
      <c r="AJ72" s="123"/>
      <c r="AK72" s="121"/>
      <c r="AL72" s="122"/>
    </row>
    <row r="73" spans="1:38" x14ac:dyDescent="0.3">
      <c r="A73" s="212"/>
      <c r="B73" s="139"/>
      <c r="C73" s="139"/>
      <c r="D73" s="213"/>
      <c r="E73" s="208"/>
      <c r="F73" s="141"/>
      <c r="G73" s="213"/>
      <c r="H73" s="140"/>
      <c r="I73" s="214"/>
      <c r="J73" s="204"/>
      <c r="K73" s="205"/>
      <c r="L73" s="207"/>
      <c r="M73" s="205">
        <f ca="1">IF(NOT(ISERROR(MATCH(L73,_xlfn.ANCHORARRAY(E84),0))),K86&amp;"Por favor no seleccionar los criterios de impacto",L73)</f>
        <v>0</v>
      </c>
      <c r="N73" s="204"/>
      <c r="O73" s="205"/>
      <c r="P73" s="206"/>
      <c r="Q73" s="113">
        <v>5</v>
      </c>
      <c r="R73" s="114"/>
      <c r="S73" s="115" t="str">
        <f t="shared" si="82"/>
        <v/>
      </c>
      <c r="T73" s="116"/>
      <c r="U73" s="116"/>
      <c r="V73" s="117" t="str">
        <f t="shared" si="77"/>
        <v/>
      </c>
      <c r="W73" s="116"/>
      <c r="X73" s="116"/>
      <c r="Y73" s="116"/>
      <c r="Z73" s="118" t="str">
        <f t="shared" si="83"/>
        <v/>
      </c>
      <c r="AA73" s="119" t="str">
        <f t="shared" si="78"/>
        <v/>
      </c>
      <c r="AB73" s="117" t="str">
        <f t="shared" si="79"/>
        <v/>
      </c>
      <c r="AC73" s="119" t="str">
        <f t="shared" si="80"/>
        <v/>
      </c>
      <c r="AD73" s="117" t="str">
        <f t="shared" si="84"/>
        <v/>
      </c>
      <c r="AE73" s="120" t="str">
        <f t="shared" ref="AE73:AE74" si="85">IFERROR(IF(OR(AND(AA73="Muy Baja",AC73="Leve"),AND(AA73="Muy Baja",AC73="Menor"),AND(AA73="Baja",AC73="Leve")),"Bajo",IF(OR(AND(AA73="Muy baja",AC73="Moderado"),AND(AA73="Baja",AC73="Menor"),AND(AA73="Baja",AC73="Moderado"),AND(AA73="Media",AC73="Leve"),AND(AA73="Media",AC73="Menor"),AND(AA73="Media",AC73="Moderado"),AND(AA73="Alta",AC73="Leve"),AND(AA73="Alta",AC73="Menor")),"Moderado",IF(OR(AND(AA73="Muy Baja",AC73="Mayor"),AND(AA73="Baja",AC73="Mayor"),AND(AA73="Media",AC73="Mayor"),AND(AA73="Alta",AC73="Moderado"),AND(AA73="Alta",AC73="Mayor"),AND(AA73="Muy Alta",AC73="Leve"),AND(AA73="Muy Alta",AC73="Menor"),AND(AA73="Muy Alta",AC73="Moderado"),AND(AA73="Muy Alta",AC73="Mayor")),"Alto",IF(OR(AND(AA73="Muy Baja",AC73="Catastrófico"),AND(AA73="Baja",AC73="Catastrófico"),AND(AA73="Media",AC73="Catastrófico"),AND(AA73="Alta",AC73="Catastrófico"),AND(AA73="Muy Alta",AC73="Catastrófico")),"Extremo","")))),"")</f>
        <v/>
      </c>
      <c r="AF73" s="116"/>
      <c r="AG73" s="121"/>
      <c r="AH73" s="122"/>
      <c r="AI73" s="123"/>
      <c r="AJ73" s="123"/>
      <c r="AK73" s="121"/>
      <c r="AL73" s="122"/>
    </row>
    <row r="74" spans="1:38" x14ac:dyDescent="0.3">
      <c r="A74" s="212"/>
      <c r="B74" s="139"/>
      <c r="C74" s="139"/>
      <c r="D74" s="213"/>
      <c r="E74" s="208"/>
      <c r="F74" s="141"/>
      <c r="G74" s="213"/>
      <c r="H74" s="140"/>
      <c r="I74" s="214"/>
      <c r="J74" s="204"/>
      <c r="K74" s="205"/>
      <c r="L74" s="207"/>
      <c r="M74" s="205">
        <f ca="1">IF(NOT(ISERROR(MATCH(L74,_xlfn.ANCHORARRAY(E85),0))),K87&amp;"Por favor no seleccionar los criterios de impacto",L74)</f>
        <v>0</v>
      </c>
      <c r="N74" s="204"/>
      <c r="O74" s="205"/>
      <c r="P74" s="206"/>
      <c r="Q74" s="113">
        <v>6</v>
      </c>
      <c r="R74" s="114"/>
      <c r="S74" s="115" t="str">
        <f t="shared" si="82"/>
        <v/>
      </c>
      <c r="T74" s="116"/>
      <c r="U74" s="116"/>
      <c r="V74" s="117" t="str">
        <f t="shared" si="77"/>
        <v/>
      </c>
      <c r="W74" s="116"/>
      <c r="X74" s="116"/>
      <c r="Y74" s="116"/>
      <c r="Z74" s="118" t="str">
        <f t="shared" si="83"/>
        <v/>
      </c>
      <c r="AA74" s="119" t="str">
        <f t="shared" si="78"/>
        <v/>
      </c>
      <c r="AB74" s="117" t="str">
        <f t="shared" si="79"/>
        <v/>
      </c>
      <c r="AC74" s="119" t="str">
        <f t="shared" si="80"/>
        <v/>
      </c>
      <c r="AD74" s="117" t="str">
        <f t="shared" si="84"/>
        <v/>
      </c>
      <c r="AE74" s="120" t="str">
        <f t="shared" si="85"/>
        <v/>
      </c>
      <c r="AF74" s="116"/>
      <c r="AG74" s="121"/>
      <c r="AH74" s="122"/>
      <c r="AI74" s="123"/>
      <c r="AJ74" s="123"/>
      <c r="AK74" s="121"/>
      <c r="AL74" s="122"/>
    </row>
    <row r="75" spans="1:38" x14ac:dyDescent="0.3">
      <c r="A75" s="212">
        <v>2</v>
      </c>
      <c r="B75" s="139"/>
      <c r="C75" s="139"/>
      <c r="D75" s="213"/>
      <c r="E75" s="208"/>
      <c r="F75" s="141"/>
      <c r="G75" s="213"/>
      <c r="H75" s="140"/>
      <c r="I75" s="214"/>
      <c r="J75" s="204" t="str">
        <f>IF(I75&lt;=0,"",IF(I75&lt;=2,"Muy Baja",IF(I75&lt;=24,"Baja",IF(I75&lt;=500,"Media",IF(I75&lt;=5000,"Alta","Muy Alta")))))</f>
        <v/>
      </c>
      <c r="K75" s="205" t="str">
        <f>IF(J75="","",IF(J75="Muy Baja",0.2,IF(J75="Baja",0.4,IF(J75="Media",0.6,IF(J75="Alta",0.8,IF(J75="Muy Alta",1,))))))</f>
        <v/>
      </c>
      <c r="L75" s="207"/>
      <c r="M75" s="205">
        <f ca="1">IF(NOT(ISERROR(MATCH(L75,'Tabla Impacto'!$B$221:$B$223,0))),'Tabla Impacto'!$F$223&amp;"Por favor no seleccionar los criterios de impacto(Afectación Económica o presupuestal y Pérdida Reputacional)",L75)</f>
        <v>0</v>
      </c>
      <c r="N75" s="204" t="str">
        <f ca="1">IF(OR(M75='Tabla Impacto'!$C$11,M75='Tabla Impacto'!$D$11),"Leve",IF(OR(M75='Tabla Impacto'!$C$12,M75='Tabla Impacto'!$D$12),"Menor",IF(OR(M75='Tabla Impacto'!$C$13,M75='Tabla Impacto'!$D$13),"Moderado",IF(OR(M75='Tabla Impacto'!$C$14,M75='Tabla Impacto'!$D$14),"Mayor",IF(OR(M75='Tabla Impacto'!$C$15,M75='Tabla Impacto'!$D$15),"Catastrófico","")))))</f>
        <v/>
      </c>
      <c r="O75" s="205" t="str">
        <f ca="1">IF(N75="","",IF(N75="Leve",0.2,IF(N75="Menor",0.4,IF(N75="Moderado",0.6,IF(N75="Mayor",0.8,IF(N75="Catastrófico",1,))))))</f>
        <v/>
      </c>
      <c r="P75" s="206" t="str">
        <f ca="1">IF(OR(AND(J75="Muy Baja",N75="Leve"),AND(J75="Muy Baja",N75="Menor"),AND(J75="Baja",N75="Leve")),"Bajo",IF(OR(AND(J75="Muy baja",N75="Moderado"),AND(J75="Baja",N75="Menor"),AND(J75="Baja",N75="Moderado"),AND(J75="Media",N75="Leve"),AND(J75="Media",N75="Menor"),AND(J75="Media",N75="Moderado"),AND(J75="Alta",N75="Leve"),AND(J75="Alta",N75="Menor")),"Moderado",IF(OR(AND(J75="Muy Baja",N75="Mayor"),AND(J75="Baja",N75="Mayor"),AND(J75="Media",N75="Mayor"),AND(J75="Alta",N75="Moderado"),AND(J75="Alta",N75="Mayor"),AND(J75="Muy Alta",N75="Leve"),AND(J75="Muy Alta",N75="Menor"),AND(J75="Muy Alta",N75="Moderado"),AND(J75="Muy Alta",N75="Mayor")),"Alto",IF(OR(AND(J75="Muy Baja",N75="Catastrófico"),AND(J75="Baja",N75="Catastrófico"),AND(J75="Media",N75="Catastrófico"),AND(J75="Alta",N75="Catastrófico"),AND(J75="Muy Alta",N75="Catastrófico")),"Extremo",""))))</f>
        <v/>
      </c>
      <c r="Q75" s="113">
        <v>1</v>
      </c>
      <c r="R75" s="114"/>
      <c r="S75" s="115" t="str">
        <f>IF(OR(T75="Preventivo",T75="Detectivo"),"Probabilidad",IF(T75="Correctivo","Impacto",""))</f>
        <v/>
      </c>
      <c r="T75" s="116"/>
      <c r="U75" s="116"/>
      <c r="V75" s="117" t="str">
        <f>IF(AND(T75="Preventivo",U75="Automático"),"50%",IF(AND(T75="Preventivo",U75="Manual"),"40%",IF(AND(T75="Detectivo",U75="Automático"),"40%",IF(AND(T75="Detectivo",U75="Manual"),"30%",IF(AND(T75="Correctivo",U75="Automático"),"35%",IF(AND(T75="Correctivo",U75="Manual"),"25%",""))))))</f>
        <v/>
      </c>
      <c r="W75" s="116"/>
      <c r="X75" s="116"/>
      <c r="Y75" s="116"/>
      <c r="Z75" s="118" t="str">
        <f>IFERROR(IF(S75="Probabilidad",(K75-(+K75*V75)),IF(S75="Impacto",K75,"")),"")</f>
        <v/>
      </c>
      <c r="AA75" s="119" t="str">
        <f>IFERROR(IF(Z75="","",IF(Z75&lt;=0.2,"Muy Baja",IF(Z75&lt;=0.4,"Baja",IF(Z75&lt;=0.6,"Media",IF(Z75&lt;=0.8,"Alta","Muy Alta"))))),"")</f>
        <v/>
      </c>
      <c r="AB75" s="117" t="str">
        <f>+Z75</f>
        <v/>
      </c>
      <c r="AC75" s="119" t="str">
        <f>IFERROR(IF(AD75="","",IF(AD75&lt;=0.2,"Leve",IF(AD75&lt;=0.4,"Menor",IF(AD75&lt;=0.6,"Moderado",IF(AD75&lt;=0.8,"Mayor","Catastrófico"))))),"")</f>
        <v/>
      </c>
      <c r="AD75" s="117" t="str">
        <f>IFERROR(IF(S75="Impacto",(O75-(+O75*V75)),IF(S75="Probabilidad",O75,"")),"")</f>
        <v/>
      </c>
      <c r="AE75" s="120" t="str">
        <f>IFERROR(IF(OR(AND(AA75="Muy Baja",AC75="Leve"),AND(AA75="Muy Baja",AC75="Menor"),AND(AA75="Baja",AC75="Leve")),"Bajo",IF(OR(AND(AA75="Muy baja",AC75="Moderado"),AND(AA75="Baja",AC75="Menor"),AND(AA75="Baja",AC75="Moderado"),AND(AA75="Media",AC75="Leve"),AND(AA75="Media",AC75="Menor"),AND(AA75="Media",AC75="Moderado"),AND(AA75="Alta",AC75="Leve"),AND(AA75="Alta",AC75="Menor")),"Moderado",IF(OR(AND(AA75="Muy Baja",AC75="Mayor"),AND(AA75="Baja",AC75="Mayor"),AND(AA75="Media",AC75="Mayor"),AND(AA75="Alta",AC75="Moderado"),AND(AA75="Alta",AC75="Mayor"),AND(AA75="Muy Alta",AC75="Leve"),AND(AA75="Muy Alta",AC75="Menor"),AND(AA75="Muy Alta",AC75="Moderado"),AND(AA75="Muy Alta",AC75="Mayor")),"Alto",IF(OR(AND(AA75="Muy Baja",AC75="Catastrófico"),AND(AA75="Baja",AC75="Catastrófico"),AND(AA75="Media",AC75="Catastrófico"),AND(AA75="Alta",AC75="Catastrófico"),AND(AA75="Muy Alta",AC75="Catastrófico")),"Extremo","")))),"")</f>
        <v/>
      </c>
      <c r="AF75" s="116"/>
      <c r="AG75" s="121"/>
      <c r="AH75" s="122"/>
      <c r="AI75" s="123"/>
      <c r="AJ75" s="123"/>
      <c r="AK75" s="121"/>
      <c r="AL75" s="122"/>
    </row>
    <row r="76" spans="1:38" x14ac:dyDescent="0.3">
      <c r="A76" s="212"/>
      <c r="B76" s="139"/>
      <c r="C76" s="139"/>
      <c r="D76" s="213"/>
      <c r="E76" s="208"/>
      <c r="F76" s="141"/>
      <c r="G76" s="213"/>
      <c r="H76" s="140"/>
      <c r="I76" s="214"/>
      <c r="J76" s="204"/>
      <c r="K76" s="205"/>
      <c r="L76" s="207"/>
      <c r="M76" s="205">
        <f ca="1">IF(NOT(ISERROR(MATCH(L76,_xlfn.ANCHORARRAY(E87),0))),K89&amp;"Por favor no seleccionar los criterios de impacto",L76)</f>
        <v>0</v>
      </c>
      <c r="N76" s="204"/>
      <c r="O76" s="205"/>
      <c r="P76" s="206"/>
      <c r="Q76" s="113">
        <v>2</v>
      </c>
      <c r="R76" s="114"/>
      <c r="S76" s="115" t="str">
        <f>IF(OR(T76="Preventivo",T76="Detectivo"),"Probabilidad",IF(T76="Correctivo","Impacto",""))</f>
        <v/>
      </c>
      <c r="T76" s="116"/>
      <c r="U76" s="116"/>
      <c r="V76" s="117" t="str">
        <f t="shared" ref="V76:V80" si="86">IF(AND(T76="Preventivo",U76="Automático"),"50%",IF(AND(T76="Preventivo",U76="Manual"),"40%",IF(AND(T76="Detectivo",U76="Automático"),"40%",IF(AND(T76="Detectivo",U76="Manual"),"30%",IF(AND(T76="Correctivo",U76="Automático"),"35%",IF(AND(T76="Correctivo",U76="Manual"),"25%",""))))))</f>
        <v/>
      </c>
      <c r="W76" s="116"/>
      <c r="X76" s="116"/>
      <c r="Y76" s="116"/>
      <c r="Z76" s="118" t="str">
        <f>IFERROR(IF(AND(S75="Probabilidad",S76="Probabilidad"),(AB75-(+AB75*V76)),IF(S76="Probabilidad",(K75-(+K75*V76)),IF(S76="Impacto",AB75,""))),"")</f>
        <v/>
      </c>
      <c r="AA76" s="119" t="str">
        <f t="shared" ref="AA76:AA80" si="87">IFERROR(IF(Z76="","",IF(Z76&lt;=0.2,"Muy Baja",IF(Z76&lt;=0.4,"Baja",IF(Z76&lt;=0.6,"Media",IF(Z76&lt;=0.8,"Alta","Muy Alta"))))),"")</f>
        <v/>
      </c>
      <c r="AB76" s="117" t="str">
        <f t="shared" ref="AB76:AB80" si="88">+Z76</f>
        <v/>
      </c>
      <c r="AC76" s="119" t="str">
        <f t="shared" ref="AC76:AC80" si="89">IFERROR(IF(AD76="","",IF(AD76&lt;=0.2,"Leve",IF(AD76&lt;=0.4,"Menor",IF(AD76&lt;=0.6,"Moderado",IF(AD76&lt;=0.8,"Mayor","Catastrófico"))))),"")</f>
        <v/>
      </c>
      <c r="AD76" s="117" t="str">
        <f>IFERROR(IF(AND(S75="Impacto",S76="Impacto"),(AD69-(+AD69*V76)),IF(S76="Impacto",($O$15-(+$O$15*V76)),IF(S76="Probabilidad",AD69,""))),"")</f>
        <v/>
      </c>
      <c r="AE76" s="120" t="str">
        <f t="shared" ref="AE76:AE77" si="90">IFERROR(IF(OR(AND(AA76="Muy Baja",AC76="Leve"),AND(AA76="Muy Baja",AC76="Menor"),AND(AA76="Baja",AC76="Leve")),"Bajo",IF(OR(AND(AA76="Muy baja",AC76="Moderado"),AND(AA76="Baja",AC76="Menor"),AND(AA76="Baja",AC76="Moderado"),AND(AA76="Media",AC76="Leve"),AND(AA76="Media",AC76="Menor"),AND(AA76="Media",AC76="Moderado"),AND(AA76="Alta",AC76="Leve"),AND(AA76="Alta",AC76="Menor")),"Moderado",IF(OR(AND(AA76="Muy Baja",AC76="Mayor"),AND(AA76="Baja",AC76="Mayor"),AND(AA76="Media",AC76="Mayor"),AND(AA76="Alta",AC76="Moderado"),AND(AA76="Alta",AC76="Mayor"),AND(AA76="Muy Alta",AC76="Leve"),AND(AA76="Muy Alta",AC76="Menor"),AND(AA76="Muy Alta",AC76="Moderado"),AND(AA76="Muy Alta",AC76="Mayor")),"Alto",IF(OR(AND(AA76="Muy Baja",AC76="Catastrófico"),AND(AA76="Baja",AC76="Catastrófico"),AND(AA76="Media",AC76="Catastrófico"),AND(AA76="Alta",AC76="Catastrófico"),AND(AA76="Muy Alta",AC76="Catastrófico")),"Extremo","")))),"")</f>
        <v/>
      </c>
      <c r="AF76" s="116"/>
      <c r="AG76" s="121"/>
      <c r="AH76" s="122"/>
      <c r="AI76" s="123"/>
      <c r="AJ76" s="123"/>
      <c r="AK76" s="121"/>
      <c r="AL76" s="122"/>
    </row>
    <row r="77" spans="1:38" x14ac:dyDescent="0.3">
      <c r="A77" s="212"/>
      <c r="B77" s="139"/>
      <c r="C77" s="139"/>
      <c r="D77" s="213"/>
      <c r="E77" s="208"/>
      <c r="F77" s="141"/>
      <c r="G77" s="213"/>
      <c r="H77" s="140"/>
      <c r="I77" s="214"/>
      <c r="J77" s="204"/>
      <c r="K77" s="205"/>
      <c r="L77" s="207"/>
      <c r="M77" s="205">
        <f ca="1">IF(NOT(ISERROR(MATCH(L77,_xlfn.ANCHORARRAY(E88),0))),K90&amp;"Por favor no seleccionar los criterios de impacto",L77)</f>
        <v>0</v>
      </c>
      <c r="N77" s="204"/>
      <c r="O77" s="205"/>
      <c r="P77" s="206"/>
      <c r="Q77" s="113">
        <v>3</v>
      </c>
      <c r="R77" s="126"/>
      <c r="S77" s="115" t="str">
        <f>IF(OR(T77="Preventivo",T77="Detectivo"),"Probabilidad",IF(T77="Correctivo","Impacto",""))</f>
        <v/>
      </c>
      <c r="T77" s="116"/>
      <c r="U77" s="116"/>
      <c r="V77" s="117" t="str">
        <f t="shared" si="86"/>
        <v/>
      </c>
      <c r="W77" s="116"/>
      <c r="X77" s="116"/>
      <c r="Y77" s="116"/>
      <c r="Z77" s="118" t="str">
        <f>IFERROR(IF(AND(S76="Probabilidad",S77="Probabilidad"),(AB76-(+AB76*V77)),IF(AND(S76="Impacto",S77="Probabilidad"),(AB75-(+AB75*V77)),IF(S77="Impacto",AB76,""))),"")</f>
        <v/>
      </c>
      <c r="AA77" s="119" t="str">
        <f t="shared" si="87"/>
        <v/>
      </c>
      <c r="AB77" s="117" t="str">
        <f t="shared" si="88"/>
        <v/>
      </c>
      <c r="AC77" s="119" t="str">
        <f t="shared" si="89"/>
        <v/>
      </c>
      <c r="AD77" s="117" t="str">
        <f>IFERROR(IF(AND(S76="Impacto",S77="Impacto"),(AD76-(+AD76*V77)),IF(AND(S76="Probabilidad",S77="Impacto"),(AD75-(+AD75*V77)),IF(S77="Probabilidad",AD76,""))),"")</f>
        <v/>
      </c>
      <c r="AE77" s="120" t="str">
        <f t="shared" si="90"/>
        <v/>
      </c>
      <c r="AF77" s="116"/>
      <c r="AG77" s="121"/>
      <c r="AH77" s="122"/>
      <c r="AI77" s="123"/>
      <c r="AJ77" s="123"/>
      <c r="AK77" s="121"/>
      <c r="AL77" s="122"/>
    </row>
    <row r="78" spans="1:38" x14ac:dyDescent="0.3">
      <c r="A78" s="212"/>
      <c r="B78" s="139"/>
      <c r="C78" s="139"/>
      <c r="D78" s="213"/>
      <c r="E78" s="208"/>
      <c r="F78" s="141"/>
      <c r="G78" s="213"/>
      <c r="H78" s="140"/>
      <c r="I78" s="214"/>
      <c r="J78" s="204"/>
      <c r="K78" s="205"/>
      <c r="L78" s="207"/>
      <c r="M78" s="205">
        <f ca="1">IF(NOT(ISERROR(MATCH(L78,_xlfn.ANCHORARRAY(E89),0))),K91&amp;"Por favor no seleccionar los criterios de impacto",L78)</f>
        <v>0</v>
      </c>
      <c r="N78" s="204"/>
      <c r="O78" s="205"/>
      <c r="P78" s="206"/>
      <c r="Q78" s="113">
        <v>4</v>
      </c>
      <c r="R78" s="114"/>
      <c r="S78" s="115" t="str">
        <f t="shared" ref="S78:S80" si="91">IF(OR(T78="Preventivo",T78="Detectivo"),"Probabilidad",IF(T78="Correctivo","Impacto",""))</f>
        <v/>
      </c>
      <c r="T78" s="116"/>
      <c r="U78" s="116"/>
      <c r="V78" s="117" t="str">
        <f t="shared" si="86"/>
        <v/>
      </c>
      <c r="W78" s="116"/>
      <c r="X78" s="116"/>
      <c r="Y78" s="116"/>
      <c r="Z78" s="118" t="str">
        <f t="shared" ref="Z78:Z80" si="92">IFERROR(IF(AND(S77="Probabilidad",S78="Probabilidad"),(AB77-(+AB77*V78)),IF(AND(S77="Impacto",S78="Probabilidad"),(AB76-(+AB76*V78)),IF(S78="Impacto",AB77,""))),"")</f>
        <v/>
      </c>
      <c r="AA78" s="119" t="str">
        <f t="shared" si="87"/>
        <v/>
      </c>
      <c r="AB78" s="117" t="str">
        <f t="shared" si="88"/>
        <v/>
      </c>
      <c r="AC78" s="119" t="str">
        <f t="shared" si="89"/>
        <v/>
      </c>
      <c r="AD78" s="117" t="str">
        <f t="shared" ref="AD78:AD80" si="93">IFERROR(IF(AND(S77="Impacto",S78="Impacto"),(AD77-(+AD77*V78)),IF(AND(S77="Probabilidad",S78="Impacto"),(AD76-(+AD76*V78)),IF(S78="Probabilidad",AD77,""))),"")</f>
        <v/>
      </c>
      <c r="AE78" s="120" t="str">
        <f>IFERROR(IF(OR(AND(AA78="Muy Baja",AC78="Leve"),AND(AA78="Muy Baja",AC78="Menor"),AND(AA78="Baja",AC78="Leve")),"Bajo",IF(OR(AND(AA78="Muy baja",AC78="Moderado"),AND(AA78="Baja",AC78="Menor"),AND(AA78="Baja",AC78="Moderado"),AND(AA78="Media",AC78="Leve"),AND(AA78="Media",AC78="Menor"),AND(AA78="Media",AC78="Moderado"),AND(AA78="Alta",AC78="Leve"),AND(AA78="Alta",AC78="Menor")),"Moderado",IF(OR(AND(AA78="Muy Baja",AC78="Mayor"),AND(AA78="Baja",AC78="Mayor"),AND(AA78="Media",AC78="Mayor"),AND(AA78="Alta",AC78="Moderado"),AND(AA78="Alta",AC78="Mayor"),AND(AA78="Muy Alta",AC78="Leve"),AND(AA78="Muy Alta",AC78="Menor"),AND(AA78="Muy Alta",AC78="Moderado"),AND(AA78="Muy Alta",AC78="Mayor")),"Alto",IF(OR(AND(AA78="Muy Baja",AC78="Catastrófico"),AND(AA78="Baja",AC78="Catastrófico"),AND(AA78="Media",AC78="Catastrófico"),AND(AA78="Alta",AC78="Catastrófico"),AND(AA78="Muy Alta",AC78="Catastrófico")),"Extremo","")))),"")</f>
        <v/>
      </c>
      <c r="AF78" s="116"/>
      <c r="AG78" s="121"/>
      <c r="AH78" s="122"/>
      <c r="AI78" s="123"/>
      <c r="AJ78" s="123"/>
      <c r="AK78" s="121"/>
      <c r="AL78" s="122"/>
    </row>
    <row r="79" spans="1:38" x14ac:dyDescent="0.3">
      <c r="A79" s="212"/>
      <c r="B79" s="139"/>
      <c r="C79" s="139"/>
      <c r="D79" s="213"/>
      <c r="E79" s="208"/>
      <c r="F79" s="141"/>
      <c r="G79" s="213"/>
      <c r="H79" s="140"/>
      <c r="I79" s="214"/>
      <c r="J79" s="204"/>
      <c r="K79" s="205"/>
      <c r="L79" s="207"/>
      <c r="M79" s="205">
        <f ca="1">IF(NOT(ISERROR(MATCH(L79,_xlfn.ANCHORARRAY(E90),0))),K92&amp;"Por favor no seleccionar los criterios de impacto",L79)</f>
        <v>0</v>
      </c>
      <c r="N79" s="204"/>
      <c r="O79" s="205"/>
      <c r="P79" s="206"/>
      <c r="Q79" s="113">
        <v>5</v>
      </c>
      <c r="R79" s="114"/>
      <c r="S79" s="115" t="str">
        <f t="shared" si="91"/>
        <v/>
      </c>
      <c r="T79" s="116"/>
      <c r="U79" s="116"/>
      <c r="V79" s="117" t="str">
        <f t="shared" si="86"/>
        <v/>
      </c>
      <c r="W79" s="116"/>
      <c r="X79" s="116"/>
      <c r="Y79" s="116"/>
      <c r="Z79" s="118" t="str">
        <f t="shared" si="92"/>
        <v/>
      </c>
      <c r="AA79" s="119" t="str">
        <f t="shared" si="87"/>
        <v/>
      </c>
      <c r="AB79" s="117" t="str">
        <f t="shared" si="88"/>
        <v/>
      </c>
      <c r="AC79" s="119" t="str">
        <f t="shared" si="89"/>
        <v/>
      </c>
      <c r="AD79" s="117" t="str">
        <f t="shared" si="93"/>
        <v/>
      </c>
      <c r="AE79" s="120" t="str">
        <f t="shared" ref="AE79:AE80" si="94">IFERROR(IF(OR(AND(AA79="Muy Baja",AC79="Leve"),AND(AA79="Muy Baja",AC79="Menor"),AND(AA79="Baja",AC79="Leve")),"Bajo",IF(OR(AND(AA79="Muy baja",AC79="Moderado"),AND(AA79="Baja",AC79="Menor"),AND(AA79="Baja",AC79="Moderado"),AND(AA79="Media",AC79="Leve"),AND(AA79="Media",AC79="Menor"),AND(AA79="Media",AC79="Moderado"),AND(AA79="Alta",AC79="Leve"),AND(AA79="Alta",AC79="Menor")),"Moderado",IF(OR(AND(AA79="Muy Baja",AC79="Mayor"),AND(AA79="Baja",AC79="Mayor"),AND(AA79="Media",AC79="Mayor"),AND(AA79="Alta",AC79="Moderado"),AND(AA79="Alta",AC79="Mayor"),AND(AA79="Muy Alta",AC79="Leve"),AND(AA79="Muy Alta",AC79="Menor"),AND(AA79="Muy Alta",AC79="Moderado"),AND(AA79="Muy Alta",AC79="Mayor")),"Alto",IF(OR(AND(AA79="Muy Baja",AC79="Catastrófico"),AND(AA79="Baja",AC79="Catastrófico"),AND(AA79="Media",AC79="Catastrófico"),AND(AA79="Alta",AC79="Catastrófico"),AND(AA79="Muy Alta",AC79="Catastrófico")),"Extremo","")))),"")</f>
        <v/>
      </c>
      <c r="AF79" s="116"/>
      <c r="AG79" s="121"/>
      <c r="AH79" s="122"/>
      <c r="AI79" s="123"/>
      <c r="AJ79" s="123"/>
      <c r="AK79" s="121"/>
      <c r="AL79" s="122"/>
    </row>
    <row r="80" spans="1:38" x14ac:dyDescent="0.3">
      <c r="A80" s="212"/>
      <c r="B80" s="139"/>
      <c r="C80" s="139"/>
      <c r="D80" s="213"/>
      <c r="E80" s="208"/>
      <c r="F80" s="141"/>
      <c r="G80" s="213"/>
      <c r="H80" s="140"/>
      <c r="I80" s="214"/>
      <c r="J80" s="204"/>
      <c r="K80" s="205"/>
      <c r="L80" s="207"/>
      <c r="M80" s="205">
        <f ca="1">IF(NOT(ISERROR(MATCH(L80,_xlfn.ANCHORARRAY(E91),0))),K93&amp;"Por favor no seleccionar los criterios de impacto",L80)</f>
        <v>0</v>
      </c>
      <c r="N80" s="204"/>
      <c r="O80" s="205"/>
      <c r="P80" s="206"/>
      <c r="Q80" s="113">
        <v>6</v>
      </c>
      <c r="R80" s="114"/>
      <c r="S80" s="115" t="str">
        <f t="shared" si="91"/>
        <v/>
      </c>
      <c r="T80" s="116"/>
      <c r="U80" s="116"/>
      <c r="V80" s="117" t="str">
        <f t="shared" si="86"/>
        <v/>
      </c>
      <c r="W80" s="116"/>
      <c r="X80" s="116"/>
      <c r="Y80" s="116"/>
      <c r="Z80" s="118" t="str">
        <f t="shared" si="92"/>
        <v/>
      </c>
      <c r="AA80" s="119" t="str">
        <f t="shared" si="87"/>
        <v/>
      </c>
      <c r="AB80" s="117" t="str">
        <f t="shared" si="88"/>
        <v/>
      </c>
      <c r="AC80" s="119" t="str">
        <f t="shared" si="89"/>
        <v/>
      </c>
      <c r="AD80" s="117" t="str">
        <f t="shared" si="93"/>
        <v/>
      </c>
      <c r="AE80" s="120" t="str">
        <f t="shared" si="94"/>
        <v/>
      </c>
      <c r="AF80" s="116"/>
      <c r="AG80" s="121"/>
      <c r="AH80" s="122"/>
      <c r="AI80" s="123"/>
      <c r="AJ80" s="123"/>
      <c r="AK80" s="121"/>
      <c r="AL80" s="122"/>
    </row>
    <row r="81" spans="1:38" x14ac:dyDescent="0.3">
      <c r="A81" s="212">
        <v>3</v>
      </c>
      <c r="B81" s="139"/>
      <c r="C81" s="139"/>
      <c r="D81" s="213"/>
      <c r="E81" s="208"/>
      <c r="F81" s="141"/>
      <c r="G81" s="213"/>
      <c r="H81" s="140"/>
      <c r="I81" s="214"/>
      <c r="J81" s="204" t="str">
        <f>IF(I81&lt;=0,"",IF(I81&lt;=2,"Muy Baja",IF(I81&lt;=24,"Baja",IF(I81&lt;=500,"Media",IF(I81&lt;=5000,"Alta","Muy Alta")))))</f>
        <v/>
      </c>
      <c r="K81" s="205" t="str">
        <f>IF(J81="","",IF(J81="Muy Baja",0.2,IF(J81="Baja",0.4,IF(J81="Media",0.6,IF(J81="Alta",0.8,IF(J81="Muy Alta",1,))))))</f>
        <v/>
      </c>
      <c r="L81" s="207"/>
      <c r="M81" s="205">
        <f ca="1">IF(NOT(ISERROR(MATCH(L81,'Tabla Impacto'!$B$221:$B$223,0))),'Tabla Impacto'!$F$223&amp;"Por favor no seleccionar los criterios de impacto(Afectación Económica o presupuestal y Pérdida Reputacional)",L81)</f>
        <v>0</v>
      </c>
      <c r="N81" s="204" t="str">
        <f ca="1">IF(OR(M81='Tabla Impacto'!$C$11,M81='Tabla Impacto'!$D$11),"Leve",IF(OR(M81='Tabla Impacto'!$C$12,M81='Tabla Impacto'!$D$12),"Menor",IF(OR(M81='Tabla Impacto'!$C$13,M81='Tabla Impacto'!$D$13),"Moderado",IF(OR(M81='Tabla Impacto'!$C$14,M81='Tabla Impacto'!$D$14),"Mayor",IF(OR(M81='Tabla Impacto'!$C$15,M81='Tabla Impacto'!$D$15),"Catastrófico","")))))</f>
        <v/>
      </c>
      <c r="O81" s="205" t="str">
        <f ca="1">IF(N81="","",IF(N81="Leve",0.2,IF(N81="Menor",0.4,IF(N81="Moderado",0.6,IF(N81="Mayor",0.8,IF(N81="Catastrófico",1,))))))</f>
        <v/>
      </c>
      <c r="P81" s="206" t="str">
        <f ca="1">IF(OR(AND(J81="Muy Baja",N81="Leve"),AND(J81="Muy Baja",N81="Menor"),AND(J81="Baja",N81="Leve")),"Bajo",IF(OR(AND(J81="Muy baja",N81="Moderado"),AND(J81="Baja",N81="Menor"),AND(J81="Baja",N81="Moderado"),AND(J81="Media",N81="Leve"),AND(J81="Media",N81="Menor"),AND(J81="Media",N81="Moderado"),AND(J81="Alta",N81="Leve"),AND(J81="Alta",N81="Menor")),"Moderado",IF(OR(AND(J81="Muy Baja",N81="Mayor"),AND(J81="Baja",N81="Mayor"),AND(J81="Media",N81="Mayor"),AND(J81="Alta",N81="Moderado"),AND(J81="Alta",N81="Mayor"),AND(J81="Muy Alta",N81="Leve"),AND(J81="Muy Alta",N81="Menor"),AND(J81="Muy Alta",N81="Moderado"),AND(J81="Muy Alta",N81="Mayor")),"Alto",IF(OR(AND(J81="Muy Baja",N81="Catastrófico"),AND(J81="Baja",N81="Catastrófico"),AND(J81="Media",N81="Catastrófico"),AND(J81="Alta",N81="Catastrófico"),AND(J81="Muy Alta",N81="Catastrófico")),"Extremo",""))))</f>
        <v/>
      </c>
      <c r="Q81" s="113">
        <v>1</v>
      </c>
      <c r="R81" s="114"/>
      <c r="S81" s="115" t="str">
        <f>IF(OR(T81="Preventivo",T81="Detectivo"),"Probabilidad",IF(T81="Correctivo","Impacto",""))</f>
        <v/>
      </c>
      <c r="T81" s="116"/>
      <c r="U81" s="116"/>
      <c r="V81" s="117" t="str">
        <f>IF(AND(T81="Preventivo",U81="Automático"),"50%",IF(AND(T81="Preventivo",U81="Manual"),"40%",IF(AND(T81="Detectivo",U81="Automático"),"40%",IF(AND(T81="Detectivo",U81="Manual"),"30%",IF(AND(T81="Correctivo",U81="Automático"),"35%",IF(AND(T81="Correctivo",U81="Manual"),"25%",""))))))</f>
        <v/>
      </c>
      <c r="W81" s="116"/>
      <c r="X81" s="116"/>
      <c r="Y81" s="116"/>
      <c r="Z81" s="118" t="str">
        <f>IFERROR(IF(S81="Probabilidad",(K81-(+K81*V81)),IF(S81="Impacto",K81,"")),"")</f>
        <v/>
      </c>
      <c r="AA81" s="119" t="str">
        <f>IFERROR(IF(Z81="","",IF(Z81&lt;=0.2,"Muy Baja",IF(Z81&lt;=0.4,"Baja",IF(Z81&lt;=0.6,"Media",IF(Z81&lt;=0.8,"Alta","Muy Alta"))))),"")</f>
        <v/>
      </c>
      <c r="AB81" s="117" t="str">
        <f>+Z81</f>
        <v/>
      </c>
      <c r="AC81" s="119" t="str">
        <f>IFERROR(IF(AD81="","",IF(AD81&lt;=0.2,"Leve",IF(AD81&lt;=0.4,"Menor",IF(AD81&lt;=0.6,"Moderado",IF(AD81&lt;=0.8,"Mayor","Catastrófico"))))),"")</f>
        <v/>
      </c>
      <c r="AD81" s="117" t="str">
        <f>IFERROR(IF(S81="Impacto",(O81-(+O81*V81)),IF(S81="Probabilidad",O81,"")),"")</f>
        <v/>
      </c>
      <c r="AE81" s="120" t="str">
        <f>IFERROR(IF(OR(AND(AA81="Muy Baja",AC81="Leve"),AND(AA81="Muy Baja",AC81="Menor"),AND(AA81="Baja",AC81="Leve")),"Bajo",IF(OR(AND(AA81="Muy baja",AC81="Moderado"),AND(AA81="Baja",AC81="Menor"),AND(AA81="Baja",AC81="Moderado"),AND(AA81="Media",AC81="Leve"),AND(AA81="Media",AC81="Menor"),AND(AA81="Media",AC81="Moderado"),AND(AA81="Alta",AC81="Leve"),AND(AA81="Alta",AC81="Menor")),"Moderado",IF(OR(AND(AA81="Muy Baja",AC81="Mayor"),AND(AA81="Baja",AC81="Mayor"),AND(AA81="Media",AC81="Mayor"),AND(AA81="Alta",AC81="Moderado"),AND(AA81="Alta",AC81="Mayor"),AND(AA81="Muy Alta",AC81="Leve"),AND(AA81="Muy Alta",AC81="Menor"),AND(AA81="Muy Alta",AC81="Moderado"),AND(AA81="Muy Alta",AC81="Mayor")),"Alto",IF(OR(AND(AA81="Muy Baja",AC81="Catastrófico"),AND(AA81="Baja",AC81="Catastrófico"),AND(AA81="Media",AC81="Catastrófico"),AND(AA81="Alta",AC81="Catastrófico"),AND(AA81="Muy Alta",AC81="Catastrófico")),"Extremo","")))),"")</f>
        <v/>
      </c>
      <c r="AF81" s="116"/>
      <c r="AG81" s="121"/>
      <c r="AH81" s="122"/>
      <c r="AI81" s="123"/>
      <c r="AJ81" s="123"/>
      <c r="AK81" s="121"/>
      <c r="AL81" s="122"/>
    </row>
    <row r="82" spans="1:38" x14ac:dyDescent="0.3">
      <c r="A82" s="212"/>
      <c r="B82" s="139"/>
      <c r="C82" s="139"/>
      <c r="D82" s="213"/>
      <c r="E82" s="208"/>
      <c r="F82" s="141"/>
      <c r="G82" s="213"/>
      <c r="H82" s="140"/>
      <c r="I82" s="214"/>
      <c r="J82" s="204"/>
      <c r="K82" s="205"/>
      <c r="L82" s="207"/>
      <c r="M82" s="205">
        <f t="shared" ref="M82:M86" ca="1" si="95">IF(NOT(ISERROR(MATCH(L82,_xlfn.ANCHORARRAY(E93),0))),K95&amp;"Por favor no seleccionar los criterios de impacto",L82)</f>
        <v>0</v>
      </c>
      <c r="N82" s="204"/>
      <c r="O82" s="205"/>
      <c r="P82" s="206"/>
      <c r="Q82" s="113">
        <v>2</v>
      </c>
      <c r="R82" s="114"/>
      <c r="S82" s="115" t="str">
        <f>IF(OR(T82="Preventivo",T82="Detectivo"),"Probabilidad",IF(T82="Correctivo","Impacto",""))</f>
        <v/>
      </c>
      <c r="T82" s="116"/>
      <c r="U82" s="116"/>
      <c r="V82" s="117" t="str">
        <f t="shared" ref="V82:V86" si="96">IF(AND(T82="Preventivo",U82="Automático"),"50%",IF(AND(T82="Preventivo",U82="Manual"),"40%",IF(AND(T82="Detectivo",U82="Automático"),"40%",IF(AND(T82="Detectivo",U82="Manual"),"30%",IF(AND(T82="Correctivo",U82="Automático"),"35%",IF(AND(T82="Correctivo",U82="Manual"),"25%",""))))))</f>
        <v/>
      </c>
      <c r="W82" s="116"/>
      <c r="X82" s="116"/>
      <c r="Y82" s="116"/>
      <c r="Z82" s="127" t="str">
        <f>IFERROR(IF(AND(S81="Probabilidad",S82="Probabilidad"),(AB81-(+AB81*V82)),IF(S82="Probabilidad",(K81-(+K81*V82)),IF(S82="Impacto",AB81,""))),"")</f>
        <v/>
      </c>
      <c r="AA82" s="119" t="str">
        <f t="shared" ref="AA82:AA86" si="97">IFERROR(IF(Z82="","",IF(Z82&lt;=0.2,"Muy Baja",IF(Z82&lt;=0.4,"Baja",IF(Z82&lt;=0.6,"Media",IF(Z82&lt;=0.8,"Alta","Muy Alta"))))),"")</f>
        <v/>
      </c>
      <c r="AB82" s="117" t="str">
        <f t="shared" ref="AB82:AB86" si="98">+Z82</f>
        <v/>
      </c>
      <c r="AC82" s="119" t="str">
        <f t="shared" ref="AC82:AC86" si="99">IFERROR(IF(AD82="","",IF(AD82&lt;=0.2,"Leve",IF(AD82&lt;=0.4,"Menor",IF(AD82&lt;=0.6,"Moderado",IF(AD82&lt;=0.8,"Mayor","Catastrófico"))))),"")</f>
        <v/>
      </c>
      <c r="AD82" s="117" t="str">
        <f>IFERROR(IF(AND(S81="Impacto",S82="Impacto"),(AD75-(+AD75*V82)),IF(S82="Impacto",($O$21-(+$O$21*V82)),IF(S82="Probabilidad",AD75,""))),"")</f>
        <v/>
      </c>
      <c r="AE82" s="120" t="str">
        <f t="shared" ref="AE82:AE83" si="100">IFERROR(IF(OR(AND(AA82="Muy Baja",AC82="Leve"),AND(AA82="Muy Baja",AC82="Menor"),AND(AA82="Baja",AC82="Leve")),"Bajo",IF(OR(AND(AA82="Muy baja",AC82="Moderado"),AND(AA82="Baja",AC82="Menor"),AND(AA82="Baja",AC82="Moderado"),AND(AA82="Media",AC82="Leve"),AND(AA82="Media",AC82="Menor"),AND(AA82="Media",AC82="Moderado"),AND(AA82="Alta",AC82="Leve"),AND(AA82="Alta",AC82="Menor")),"Moderado",IF(OR(AND(AA82="Muy Baja",AC82="Mayor"),AND(AA82="Baja",AC82="Mayor"),AND(AA82="Media",AC82="Mayor"),AND(AA82="Alta",AC82="Moderado"),AND(AA82="Alta",AC82="Mayor"),AND(AA82="Muy Alta",AC82="Leve"),AND(AA82="Muy Alta",AC82="Menor"),AND(AA82="Muy Alta",AC82="Moderado"),AND(AA82="Muy Alta",AC82="Mayor")),"Alto",IF(OR(AND(AA82="Muy Baja",AC82="Catastrófico"),AND(AA82="Baja",AC82="Catastrófico"),AND(AA82="Media",AC82="Catastrófico"),AND(AA82="Alta",AC82="Catastrófico"),AND(AA82="Muy Alta",AC82="Catastrófico")),"Extremo","")))),"")</f>
        <v/>
      </c>
      <c r="AF82" s="116"/>
      <c r="AG82" s="121"/>
      <c r="AH82" s="122"/>
      <c r="AI82" s="123"/>
      <c r="AJ82" s="123"/>
      <c r="AK82" s="121"/>
      <c r="AL82" s="122"/>
    </row>
    <row r="83" spans="1:38" x14ac:dyDescent="0.3">
      <c r="A83" s="212"/>
      <c r="B83" s="139"/>
      <c r="C83" s="139"/>
      <c r="D83" s="213"/>
      <c r="E83" s="208"/>
      <c r="F83" s="141"/>
      <c r="G83" s="213"/>
      <c r="H83" s="140"/>
      <c r="I83" s="214"/>
      <c r="J83" s="204"/>
      <c r="K83" s="205"/>
      <c r="L83" s="207"/>
      <c r="M83" s="205">
        <f t="shared" ca="1" si="95"/>
        <v>0</v>
      </c>
      <c r="N83" s="204"/>
      <c r="O83" s="205"/>
      <c r="P83" s="206"/>
      <c r="Q83" s="113">
        <v>3</v>
      </c>
      <c r="R83" s="126"/>
      <c r="S83" s="115" t="str">
        <f>IF(OR(T83="Preventivo",T83="Detectivo"),"Probabilidad",IF(T83="Correctivo","Impacto",""))</f>
        <v/>
      </c>
      <c r="T83" s="116"/>
      <c r="U83" s="116"/>
      <c r="V83" s="117" t="str">
        <f t="shared" si="96"/>
        <v/>
      </c>
      <c r="W83" s="116"/>
      <c r="X83" s="116"/>
      <c r="Y83" s="116"/>
      <c r="Z83" s="118" t="str">
        <f>IFERROR(IF(AND(S82="Probabilidad",S83="Probabilidad"),(AB82-(+AB82*V83)),IF(AND(S82="Impacto",S83="Probabilidad"),(AB81-(+AB81*V83)),IF(S83="Impacto",AB82,""))),"")</f>
        <v/>
      </c>
      <c r="AA83" s="119" t="str">
        <f t="shared" si="97"/>
        <v/>
      </c>
      <c r="AB83" s="117" t="str">
        <f t="shared" si="98"/>
        <v/>
      </c>
      <c r="AC83" s="119" t="str">
        <f t="shared" si="99"/>
        <v/>
      </c>
      <c r="AD83" s="117" t="str">
        <f>IFERROR(IF(AND(S82="Impacto",S83="Impacto"),(AD82-(+AD82*V83)),IF(AND(S82="Probabilidad",S83="Impacto"),(AD81-(+AD81*V83)),IF(S83="Probabilidad",AD82,""))),"")</f>
        <v/>
      </c>
      <c r="AE83" s="120" t="str">
        <f t="shared" si="100"/>
        <v/>
      </c>
      <c r="AF83" s="116"/>
      <c r="AG83" s="121"/>
      <c r="AH83" s="122"/>
      <c r="AI83" s="123"/>
      <c r="AJ83" s="123"/>
      <c r="AK83" s="121"/>
      <c r="AL83" s="122"/>
    </row>
    <row r="84" spans="1:38" x14ac:dyDescent="0.3">
      <c r="A84" s="212"/>
      <c r="B84" s="139"/>
      <c r="C84" s="139"/>
      <c r="D84" s="213"/>
      <c r="E84" s="208"/>
      <c r="F84" s="141"/>
      <c r="G84" s="213"/>
      <c r="H84" s="140"/>
      <c r="I84" s="214"/>
      <c r="J84" s="204"/>
      <c r="K84" s="205"/>
      <c r="L84" s="207"/>
      <c r="M84" s="205">
        <f t="shared" ca="1" si="95"/>
        <v>0</v>
      </c>
      <c r="N84" s="204"/>
      <c r="O84" s="205"/>
      <c r="P84" s="206"/>
      <c r="Q84" s="113">
        <v>4</v>
      </c>
      <c r="R84" s="114"/>
      <c r="S84" s="115" t="str">
        <f t="shared" ref="S84:S86" si="101">IF(OR(T84="Preventivo",T84="Detectivo"),"Probabilidad",IF(T84="Correctivo","Impacto",""))</f>
        <v/>
      </c>
      <c r="T84" s="116"/>
      <c r="U84" s="116"/>
      <c r="V84" s="117" t="str">
        <f t="shared" si="96"/>
        <v/>
      </c>
      <c r="W84" s="116"/>
      <c r="X84" s="116"/>
      <c r="Y84" s="116"/>
      <c r="Z84" s="118" t="str">
        <f t="shared" ref="Z84:Z86" si="102">IFERROR(IF(AND(S83="Probabilidad",S84="Probabilidad"),(AB83-(+AB83*V84)),IF(AND(S83="Impacto",S84="Probabilidad"),(AB82-(+AB82*V84)),IF(S84="Impacto",AB83,""))),"")</f>
        <v/>
      </c>
      <c r="AA84" s="119" t="str">
        <f t="shared" si="97"/>
        <v/>
      </c>
      <c r="AB84" s="117" t="str">
        <f t="shared" si="98"/>
        <v/>
      </c>
      <c r="AC84" s="119" t="str">
        <f t="shared" si="99"/>
        <v/>
      </c>
      <c r="AD84" s="117" t="str">
        <f t="shared" ref="AD84:AD86" si="103">IFERROR(IF(AND(S83="Impacto",S84="Impacto"),(AD83-(+AD83*V84)),IF(AND(S83="Probabilidad",S84="Impacto"),(AD82-(+AD82*V84)),IF(S84="Probabilidad",AD83,""))),"")</f>
        <v/>
      </c>
      <c r="AE84" s="120" t="str">
        <f>IFERROR(IF(OR(AND(AA84="Muy Baja",AC84="Leve"),AND(AA84="Muy Baja",AC84="Menor"),AND(AA84="Baja",AC84="Leve")),"Bajo",IF(OR(AND(AA84="Muy baja",AC84="Moderado"),AND(AA84="Baja",AC84="Menor"),AND(AA84="Baja",AC84="Moderado"),AND(AA84="Media",AC84="Leve"),AND(AA84="Media",AC84="Menor"),AND(AA84="Media",AC84="Moderado"),AND(AA84="Alta",AC84="Leve"),AND(AA84="Alta",AC84="Menor")),"Moderado",IF(OR(AND(AA84="Muy Baja",AC84="Mayor"),AND(AA84="Baja",AC84="Mayor"),AND(AA84="Media",AC84="Mayor"),AND(AA84="Alta",AC84="Moderado"),AND(AA84="Alta",AC84="Mayor"),AND(AA84="Muy Alta",AC84="Leve"),AND(AA84="Muy Alta",AC84="Menor"),AND(AA84="Muy Alta",AC84="Moderado"),AND(AA84="Muy Alta",AC84="Mayor")),"Alto",IF(OR(AND(AA84="Muy Baja",AC84="Catastrófico"),AND(AA84="Baja",AC84="Catastrófico"),AND(AA84="Media",AC84="Catastrófico"),AND(AA84="Alta",AC84="Catastrófico"),AND(AA84="Muy Alta",AC84="Catastrófico")),"Extremo","")))),"")</f>
        <v/>
      </c>
      <c r="AF84" s="116"/>
      <c r="AG84" s="121"/>
      <c r="AH84" s="122"/>
      <c r="AI84" s="123"/>
      <c r="AJ84" s="123"/>
      <c r="AK84" s="121"/>
      <c r="AL84" s="122"/>
    </row>
    <row r="85" spans="1:38" x14ac:dyDescent="0.3">
      <c r="A85" s="212"/>
      <c r="B85" s="139"/>
      <c r="C85" s="139"/>
      <c r="D85" s="213"/>
      <c r="E85" s="208"/>
      <c r="F85" s="141"/>
      <c r="G85" s="213"/>
      <c r="H85" s="140"/>
      <c r="I85" s="214"/>
      <c r="J85" s="204"/>
      <c r="K85" s="205"/>
      <c r="L85" s="207"/>
      <c r="M85" s="205">
        <f t="shared" ca="1" si="95"/>
        <v>0</v>
      </c>
      <c r="N85" s="204"/>
      <c r="O85" s="205"/>
      <c r="P85" s="206"/>
      <c r="Q85" s="113">
        <v>5</v>
      </c>
      <c r="R85" s="114"/>
      <c r="S85" s="115" t="str">
        <f t="shared" si="101"/>
        <v/>
      </c>
      <c r="T85" s="116"/>
      <c r="U85" s="116"/>
      <c r="V85" s="117" t="str">
        <f t="shared" si="96"/>
        <v/>
      </c>
      <c r="W85" s="116"/>
      <c r="X85" s="116"/>
      <c r="Y85" s="116"/>
      <c r="Z85" s="118" t="str">
        <f t="shared" si="102"/>
        <v/>
      </c>
      <c r="AA85" s="119" t="str">
        <f t="shared" si="97"/>
        <v/>
      </c>
      <c r="AB85" s="117" t="str">
        <f t="shared" si="98"/>
        <v/>
      </c>
      <c r="AC85" s="119" t="str">
        <f t="shared" si="99"/>
        <v/>
      </c>
      <c r="AD85" s="117" t="str">
        <f t="shared" si="103"/>
        <v/>
      </c>
      <c r="AE85" s="120" t="str">
        <f t="shared" ref="AE85:AE86" si="104">IFERROR(IF(OR(AND(AA85="Muy Baja",AC85="Leve"),AND(AA85="Muy Baja",AC85="Menor"),AND(AA85="Baja",AC85="Leve")),"Bajo",IF(OR(AND(AA85="Muy baja",AC85="Moderado"),AND(AA85="Baja",AC85="Menor"),AND(AA85="Baja",AC85="Moderado"),AND(AA85="Media",AC85="Leve"),AND(AA85="Media",AC85="Menor"),AND(AA85="Media",AC85="Moderado"),AND(AA85="Alta",AC85="Leve"),AND(AA85="Alta",AC85="Menor")),"Moderado",IF(OR(AND(AA85="Muy Baja",AC85="Mayor"),AND(AA85="Baja",AC85="Mayor"),AND(AA85="Media",AC85="Mayor"),AND(AA85="Alta",AC85="Moderado"),AND(AA85="Alta",AC85="Mayor"),AND(AA85="Muy Alta",AC85="Leve"),AND(AA85="Muy Alta",AC85="Menor"),AND(AA85="Muy Alta",AC85="Moderado"),AND(AA85="Muy Alta",AC85="Mayor")),"Alto",IF(OR(AND(AA85="Muy Baja",AC85="Catastrófico"),AND(AA85="Baja",AC85="Catastrófico"),AND(AA85="Media",AC85="Catastrófico"),AND(AA85="Alta",AC85="Catastrófico"),AND(AA85="Muy Alta",AC85="Catastrófico")),"Extremo","")))),"")</f>
        <v/>
      </c>
      <c r="AF85" s="116"/>
      <c r="AG85" s="121"/>
      <c r="AH85" s="122"/>
      <c r="AI85" s="123"/>
      <c r="AJ85" s="123"/>
      <c r="AK85" s="121"/>
      <c r="AL85" s="122"/>
    </row>
    <row r="86" spans="1:38" x14ac:dyDescent="0.3">
      <c r="A86" s="212"/>
      <c r="B86" s="139"/>
      <c r="C86" s="139"/>
      <c r="D86" s="213"/>
      <c r="E86" s="208"/>
      <c r="F86" s="141"/>
      <c r="G86" s="213"/>
      <c r="H86" s="140"/>
      <c r="I86" s="214"/>
      <c r="J86" s="204"/>
      <c r="K86" s="205"/>
      <c r="L86" s="207"/>
      <c r="M86" s="205">
        <f t="shared" ca="1" si="95"/>
        <v>0</v>
      </c>
      <c r="N86" s="204"/>
      <c r="O86" s="205"/>
      <c r="P86" s="206"/>
      <c r="Q86" s="113">
        <v>6</v>
      </c>
      <c r="R86" s="114"/>
      <c r="S86" s="115" t="str">
        <f t="shared" si="101"/>
        <v/>
      </c>
      <c r="T86" s="116"/>
      <c r="U86" s="116"/>
      <c r="V86" s="117" t="str">
        <f t="shared" si="96"/>
        <v/>
      </c>
      <c r="W86" s="116"/>
      <c r="X86" s="116"/>
      <c r="Y86" s="116"/>
      <c r="Z86" s="118" t="str">
        <f t="shared" si="102"/>
        <v/>
      </c>
      <c r="AA86" s="119" t="str">
        <f t="shared" si="97"/>
        <v/>
      </c>
      <c r="AB86" s="117" t="str">
        <f t="shared" si="98"/>
        <v/>
      </c>
      <c r="AC86" s="119" t="str">
        <f t="shared" si="99"/>
        <v/>
      </c>
      <c r="AD86" s="117" t="str">
        <f t="shared" si="103"/>
        <v/>
      </c>
      <c r="AE86" s="120" t="str">
        <f t="shared" si="104"/>
        <v/>
      </c>
      <c r="AF86" s="116"/>
      <c r="AG86" s="121"/>
      <c r="AH86" s="122"/>
      <c r="AI86" s="123"/>
      <c r="AJ86" s="123"/>
      <c r="AK86" s="121"/>
      <c r="AL86" s="122"/>
    </row>
    <row r="87" spans="1:38" x14ac:dyDescent="0.3">
      <c r="A87" s="212">
        <v>4</v>
      </c>
      <c r="B87" s="139"/>
      <c r="C87" s="139"/>
      <c r="D87" s="213"/>
      <c r="E87" s="208"/>
      <c r="F87" s="141"/>
      <c r="G87" s="213"/>
      <c r="H87" s="140"/>
      <c r="I87" s="214"/>
      <c r="J87" s="204" t="str">
        <f>IF(I87&lt;=0,"",IF(I87&lt;=2,"Muy Baja",IF(I87&lt;=24,"Baja",IF(I87&lt;=500,"Media",IF(I87&lt;=5000,"Alta","Muy Alta")))))</f>
        <v/>
      </c>
      <c r="K87" s="205" t="str">
        <f>IF(J87="","",IF(J87="Muy Baja",0.2,IF(J87="Baja",0.4,IF(J87="Media",0.6,IF(J87="Alta",0.8,IF(J87="Muy Alta",1,))))))</f>
        <v/>
      </c>
      <c r="L87" s="207"/>
      <c r="M87" s="205">
        <f ca="1">IF(NOT(ISERROR(MATCH(L87,'Tabla Impacto'!$B$221:$B$223,0))),'Tabla Impacto'!$F$223&amp;"Por favor no seleccionar los criterios de impacto(Afectación Económica o presupuestal y Pérdida Reputacional)",L87)</f>
        <v>0</v>
      </c>
      <c r="N87" s="204" t="str">
        <f ca="1">IF(OR(M87='Tabla Impacto'!$C$11,M87='Tabla Impacto'!$D$11),"Leve",IF(OR(M87='Tabla Impacto'!$C$12,M87='Tabla Impacto'!$D$12),"Menor",IF(OR(M87='Tabla Impacto'!$C$13,M87='Tabla Impacto'!$D$13),"Moderado",IF(OR(M87='Tabla Impacto'!$C$14,M87='Tabla Impacto'!$D$14),"Mayor",IF(OR(M87='Tabla Impacto'!$C$15,M87='Tabla Impacto'!$D$15),"Catastrófico","")))))</f>
        <v/>
      </c>
      <c r="O87" s="205" t="str">
        <f ca="1">IF(N87="","",IF(N87="Leve",0.2,IF(N87="Menor",0.4,IF(N87="Moderado",0.6,IF(N87="Mayor",0.8,IF(N87="Catastrófico",1,))))))</f>
        <v/>
      </c>
      <c r="P87" s="206" t="str">
        <f ca="1">IF(OR(AND(J87="Muy Baja",N87="Leve"),AND(J87="Muy Baja",N87="Menor"),AND(J87="Baja",N87="Leve")),"Bajo",IF(OR(AND(J87="Muy baja",N87="Moderado"),AND(J87="Baja",N87="Menor"),AND(J87="Baja",N87="Moderado"),AND(J87="Media",N87="Leve"),AND(J87="Media",N87="Menor"),AND(J87="Media",N87="Moderado"),AND(J87="Alta",N87="Leve"),AND(J87="Alta",N87="Menor")),"Moderado",IF(OR(AND(J87="Muy Baja",N87="Mayor"),AND(J87="Baja",N87="Mayor"),AND(J87="Media",N87="Mayor"),AND(J87="Alta",N87="Moderado"),AND(J87="Alta",N87="Mayor"),AND(J87="Muy Alta",N87="Leve"),AND(J87="Muy Alta",N87="Menor"),AND(J87="Muy Alta",N87="Moderado"),AND(J87="Muy Alta",N87="Mayor")),"Alto",IF(OR(AND(J87="Muy Baja",N87="Catastrófico"),AND(J87="Baja",N87="Catastrófico"),AND(J87="Media",N87="Catastrófico"),AND(J87="Alta",N87="Catastrófico"),AND(J87="Muy Alta",N87="Catastrófico")),"Extremo",""))))</f>
        <v/>
      </c>
      <c r="Q87" s="113">
        <v>1</v>
      </c>
      <c r="R87" s="114"/>
      <c r="S87" s="115" t="str">
        <f>IF(OR(T87="Preventivo",T87="Detectivo"),"Probabilidad",IF(T87="Correctivo","Impacto",""))</f>
        <v/>
      </c>
      <c r="T87" s="116"/>
      <c r="U87" s="116"/>
      <c r="V87" s="117" t="str">
        <f>IF(AND(T87="Preventivo",U87="Automático"),"50%",IF(AND(T87="Preventivo",U87="Manual"),"40%",IF(AND(T87="Detectivo",U87="Automático"),"40%",IF(AND(T87="Detectivo",U87="Manual"),"30%",IF(AND(T87="Correctivo",U87="Automático"),"35%",IF(AND(T87="Correctivo",U87="Manual"),"25%",""))))))</f>
        <v/>
      </c>
      <c r="W87" s="116"/>
      <c r="X87" s="116"/>
      <c r="Y87" s="116"/>
      <c r="Z87" s="118" t="str">
        <f>IFERROR(IF(S87="Probabilidad",(K87-(+K87*V87)),IF(S87="Impacto",K87,"")),"")</f>
        <v/>
      </c>
      <c r="AA87" s="119" t="str">
        <f>IFERROR(IF(Z87="","",IF(Z87&lt;=0.2,"Muy Baja",IF(Z87&lt;=0.4,"Baja",IF(Z87&lt;=0.6,"Media",IF(Z87&lt;=0.8,"Alta","Muy Alta"))))),"")</f>
        <v/>
      </c>
      <c r="AB87" s="117" t="str">
        <f>+Z87</f>
        <v/>
      </c>
      <c r="AC87" s="119" t="str">
        <f>IFERROR(IF(AD87="","",IF(AD87&lt;=0.2,"Leve",IF(AD87&lt;=0.4,"Menor",IF(AD87&lt;=0.6,"Moderado",IF(AD87&lt;=0.8,"Mayor","Catastrófico"))))),"")</f>
        <v/>
      </c>
      <c r="AD87" s="117" t="str">
        <f>IFERROR(IF(S87="Impacto",(O87-(+O87*V87)),IF(S87="Probabilidad",O87,"")),"")</f>
        <v/>
      </c>
      <c r="AE87" s="120" t="str">
        <f>IFERROR(IF(OR(AND(AA87="Muy Baja",AC87="Leve"),AND(AA87="Muy Baja",AC87="Menor"),AND(AA87="Baja",AC87="Leve")),"Bajo",IF(OR(AND(AA87="Muy baja",AC87="Moderado"),AND(AA87="Baja",AC87="Menor"),AND(AA87="Baja",AC87="Moderado"),AND(AA87="Media",AC87="Leve"),AND(AA87="Media",AC87="Menor"),AND(AA87="Media",AC87="Moderado"),AND(AA87="Alta",AC87="Leve"),AND(AA87="Alta",AC87="Menor")),"Moderado",IF(OR(AND(AA87="Muy Baja",AC87="Mayor"),AND(AA87="Baja",AC87="Mayor"),AND(AA87="Media",AC87="Mayor"),AND(AA87="Alta",AC87="Moderado"),AND(AA87="Alta",AC87="Mayor"),AND(AA87="Muy Alta",AC87="Leve"),AND(AA87="Muy Alta",AC87="Menor"),AND(AA87="Muy Alta",AC87="Moderado"),AND(AA87="Muy Alta",AC87="Mayor")),"Alto",IF(OR(AND(AA87="Muy Baja",AC87="Catastrófico"),AND(AA87="Baja",AC87="Catastrófico"),AND(AA87="Media",AC87="Catastrófico"),AND(AA87="Alta",AC87="Catastrófico"),AND(AA87="Muy Alta",AC87="Catastrófico")),"Extremo","")))),"")</f>
        <v/>
      </c>
      <c r="AF87" s="116"/>
      <c r="AG87" s="121"/>
      <c r="AH87" s="122"/>
      <c r="AI87" s="123"/>
      <c r="AJ87" s="123"/>
      <c r="AK87" s="121"/>
      <c r="AL87" s="122"/>
    </row>
    <row r="88" spans="1:38" x14ac:dyDescent="0.3">
      <c r="A88" s="212"/>
      <c r="B88" s="139"/>
      <c r="C88" s="139"/>
      <c r="D88" s="213"/>
      <c r="E88" s="208"/>
      <c r="F88" s="141"/>
      <c r="G88" s="213"/>
      <c r="H88" s="140"/>
      <c r="I88" s="214"/>
      <c r="J88" s="204"/>
      <c r="K88" s="205"/>
      <c r="L88" s="207"/>
      <c r="M88" s="205">
        <f t="shared" ref="M88:M92" ca="1" si="105">IF(NOT(ISERROR(MATCH(L88,_xlfn.ANCHORARRAY(E99),0))),K101&amp;"Por favor no seleccionar los criterios de impacto",L88)</f>
        <v>0</v>
      </c>
      <c r="N88" s="204"/>
      <c r="O88" s="205"/>
      <c r="P88" s="206"/>
      <c r="Q88" s="113">
        <v>2</v>
      </c>
      <c r="R88" s="114"/>
      <c r="S88" s="115" t="str">
        <f>IF(OR(T88="Preventivo",T88="Detectivo"),"Probabilidad",IF(T88="Correctivo","Impacto",""))</f>
        <v/>
      </c>
      <c r="T88" s="116"/>
      <c r="U88" s="116"/>
      <c r="V88" s="117" t="str">
        <f t="shared" ref="V88:V92" si="106">IF(AND(T88="Preventivo",U88="Automático"),"50%",IF(AND(T88="Preventivo",U88="Manual"),"40%",IF(AND(T88="Detectivo",U88="Automático"),"40%",IF(AND(T88="Detectivo",U88="Manual"),"30%",IF(AND(T88="Correctivo",U88="Automático"),"35%",IF(AND(T88="Correctivo",U88="Manual"),"25%",""))))))</f>
        <v/>
      </c>
      <c r="W88" s="116"/>
      <c r="X88" s="116"/>
      <c r="Y88" s="116"/>
      <c r="Z88" s="118" t="str">
        <f>IFERROR(IF(AND(S87="Probabilidad",S88="Probabilidad"),(AB87-(+AB87*V88)),IF(S88="Probabilidad",(K87-(+K87*V88)),IF(S88="Impacto",AB87,""))),"")</f>
        <v/>
      </c>
      <c r="AA88" s="119" t="str">
        <f t="shared" ref="AA88:AA90" si="107">IFERROR(IF(Z88="","",IF(Z88&lt;=0.2,"Muy Baja",IF(Z88&lt;=0.4,"Baja",IF(Z88&lt;=0.6,"Media",IF(Z88&lt;=0.8,"Alta","Muy Alta"))))),"")</f>
        <v/>
      </c>
      <c r="AB88" s="117" t="str">
        <f t="shared" ref="AB88:AB92" si="108">+Z88</f>
        <v/>
      </c>
      <c r="AC88" s="119" t="str">
        <f t="shared" ref="AC88:AC92" si="109">IFERROR(IF(AD88="","",IF(AD88&lt;=0.2,"Leve",IF(AD88&lt;=0.4,"Menor",IF(AD88&lt;=0.6,"Moderado",IF(AD88&lt;=0.8,"Mayor","Catastrófico"))))),"")</f>
        <v/>
      </c>
      <c r="AD88" s="117" t="str">
        <f>IFERROR(IF(AND(S87="Impacto",S88="Impacto"),(AD81-(+AD81*V88)),IF(S88="Impacto",($O$27-(+$O$27*V88)),IF(S88="Probabilidad",AD81,""))),"")</f>
        <v/>
      </c>
      <c r="AE88" s="120" t="str">
        <f t="shared" ref="AE88:AE89" si="110">IFERROR(IF(OR(AND(AA88="Muy Baja",AC88="Leve"),AND(AA88="Muy Baja",AC88="Menor"),AND(AA88="Baja",AC88="Leve")),"Bajo",IF(OR(AND(AA88="Muy baja",AC88="Moderado"),AND(AA88="Baja",AC88="Menor"),AND(AA88="Baja",AC88="Moderado"),AND(AA88="Media",AC88="Leve"),AND(AA88="Media",AC88="Menor"),AND(AA88="Media",AC88="Moderado"),AND(AA88="Alta",AC88="Leve"),AND(AA88="Alta",AC88="Menor")),"Moderado",IF(OR(AND(AA88="Muy Baja",AC88="Mayor"),AND(AA88="Baja",AC88="Mayor"),AND(AA88="Media",AC88="Mayor"),AND(AA88="Alta",AC88="Moderado"),AND(AA88="Alta",AC88="Mayor"),AND(AA88="Muy Alta",AC88="Leve"),AND(AA88="Muy Alta",AC88="Menor"),AND(AA88="Muy Alta",AC88="Moderado"),AND(AA88="Muy Alta",AC88="Mayor")),"Alto",IF(OR(AND(AA88="Muy Baja",AC88="Catastrófico"),AND(AA88="Baja",AC88="Catastrófico"),AND(AA88="Media",AC88="Catastrófico"),AND(AA88="Alta",AC88="Catastrófico"),AND(AA88="Muy Alta",AC88="Catastrófico")),"Extremo","")))),"")</f>
        <v/>
      </c>
      <c r="AF88" s="116"/>
      <c r="AG88" s="121"/>
      <c r="AH88" s="122"/>
      <c r="AI88" s="123"/>
      <c r="AJ88" s="123"/>
      <c r="AK88" s="121"/>
      <c r="AL88" s="122"/>
    </row>
    <row r="89" spans="1:38" x14ac:dyDescent="0.3">
      <c r="A89" s="212"/>
      <c r="B89" s="139"/>
      <c r="C89" s="139"/>
      <c r="D89" s="213"/>
      <c r="E89" s="208"/>
      <c r="F89" s="141"/>
      <c r="G89" s="213"/>
      <c r="H89" s="140"/>
      <c r="I89" s="214"/>
      <c r="J89" s="204"/>
      <c r="K89" s="205"/>
      <c r="L89" s="207"/>
      <c r="M89" s="205">
        <f t="shared" ca="1" si="105"/>
        <v>0</v>
      </c>
      <c r="N89" s="204"/>
      <c r="O89" s="205"/>
      <c r="P89" s="206"/>
      <c r="Q89" s="113">
        <v>3</v>
      </c>
      <c r="R89" s="126"/>
      <c r="S89" s="115" t="str">
        <f>IF(OR(T89="Preventivo",T89="Detectivo"),"Probabilidad",IF(T89="Correctivo","Impacto",""))</f>
        <v/>
      </c>
      <c r="T89" s="116"/>
      <c r="U89" s="116"/>
      <c r="V89" s="117" t="str">
        <f t="shared" si="106"/>
        <v/>
      </c>
      <c r="W89" s="116"/>
      <c r="X89" s="116"/>
      <c r="Y89" s="116"/>
      <c r="Z89" s="118" t="str">
        <f>IFERROR(IF(AND(S88="Probabilidad",S89="Probabilidad"),(AB88-(+AB88*V89)),IF(AND(S88="Impacto",S89="Probabilidad"),(AB87-(+AB87*V89)),IF(S89="Impacto",AB88,""))),"")</f>
        <v/>
      </c>
      <c r="AA89" s="119" t="str">
        <f t="shared" si="107"/>
        <v/>
      </c>
      <c r="AB89" s="117" t="str">
        <f t="shared" si="108"/>
        <v/>
      </c>
      <c r="AC89" s="119" t="str">
        <f t="shared" si="109"/>
        <v/>
      </c>
      <c r="AD89" s="117" t="str">
        <f>IFERROR(IF(AND(S88="Impacto",S89="Impacto"),(AD88-(+AD88*V89)),IF(AND(S88="Probabilidad",S89="Impacto"),(AD87-(+AD87*V89)),IF(S89="Probabilidad",AD88,""))),"")</f>
        <v/>
      </c>
      <c r="AE89" s="120" t="str">
        <f t="shared" si="110"/>
        <v/>
      </c>
      <c r="AF89" s="116"/>
      <c r="AG89" s="121"/>
      <c r="AH89" s="122"/>
      <c r="AI89" s="123"/>
      <c r="AJ89" s="123"/>
      <c r="AK89" s="121"/>
      <c r="AL89" s="122"/>
    </row>
    <row r="90" spans="1:38" x14ac:dyDescent="0.3">
      <c r="A90" s="212"/>
      <c r="B90" s="139"/>
      <c r="C90" s="139"/>
      <c r="D90" s="213"/>
      <c r="E90" s="208"/>
      <c r="F90" s="141"/>
      <c r="G90" s="213"/>
      <c r="H90" s="140"/>
      <c r="I90" s="214"/>
      <c r="J90" s="204"/>
      <c r="K90" s="205"/>
      <c r="L90" s="207"/>
      <c r="M90" s="205">
        <f t="shared" ca="1" si="105"/>
        <v>0</v>
      </c>
      <c r="N90" s="204"/>
      <c r="O90" s="205"/>
      <c r="P90" s="206"/>
      <c r="Q90" s="113">
        <v>4</v>
      </c>
      <c r="R90" s="114"/>
      <c r="S90" s="115" t="str">
        <f t="shared" ref="S90:S92" si="111">IF(OR(T90="Preventivo",T90="Detectivo"),"Probabilidad",IF(T90="Correctivo","Impacto",""))</f>
        <v/>
      </c>
      <c r="T90" s="116"/>
      <c r="U90" s="116"/>
      <c r="V90" s="117" t="str">
        <f t="shared" si="106"/>
        <v/>
      </c>
      <c r="W90" s="116"/>
      <c r="X90" s="116"/>
      <c r="Y90" s="116"/>
      <c r="Z90" s="118" t="str">
        <f t="shared" ref="Z90:Z92" si="112">IFERROR(IF(AND(S89="Probabilidad",S90="Probabilidad"),(AB89-(+AB89*V90)),IF(AND(S89="Impacto",S90="Probabilidad"),(AB88-(+AB88*V90)),IF(S90="Impacto",AB89,""))),"")</f>
        <v/>
      </c>
      <c r="AA90" s="119" t="str">
        <f t="shared" si="107"/>
        <v/>
      </c>
      <c r="AB90" s="117" t="str">
        <f t="shared" si="108"/>
        <v/>
      </c>
      <c r="AC90" s="119" t="str">
        <f t="shared" si="109"/>
        <v/>
      </c>
      <c r="AD90" s="117" t="str">
        <f t="shared" ref="AD90:AD92" si="113">IFERROR(IF(AND(S89="Impacto",S90="Impacto"),(AD89-(+AD89*V90)),IF(AND(S89="Probabilidad",S90="Impacto"),(AD88-(+AD88*V90)),IF(S90="Probabilidad",AD89,""))),"")</f>
        <v/>
      </c>
      <c r="AE90" s="120" t="str">
        <f>IFERROR(IF(OR(AND(AA90="Muy Baja",AC90="Leve"),AND(AA90="Muy Baja",AC90="Menor"),AND(AA90="Baja",AC90="Leve")),"Bajo",IF(OR(AND(AA90="Muy baja",AC90="Moderado"),AND(AA90="Baja",AC90="Menor"),AND(AA90="Baja",AC90="Moderado"),AND(AA90="Media",AC90="Leve"),AND(AA90="Media",AC90="Menor"),AND(AA90="Media",AC90="Moderado"),AND(AA90="Alta",AC90="Leve"),AND(AA90="Alta",AC90="Menor")),"Moderado",IF(OR(AND(AA90="Muy Baja",AC90="Mayor"),AND(AA90="Baja",AC90="Mayor"),AND(AA90="Media",AC90="Mayor"),AND(AA90="Alta",AC90="Moderado"),AND(AA90="Alta",AC90="Mayor"),AND(AA90="Muy Alta",AC90="Leve"),AND(AA90="Muy Alta",AC90="Menor"),AND(AA90="Muy Alta",AC90="Moderado"),AND(AA90="Muy Alta",AC90="Mayor")),"Alto",IF(OR(AND(AA90="Muy Baja",AC90="Catastrófico"),AND(AA90="Baja",AC90="Catastrófico"),AND(AA90="Media",AC90="Catastrófico"),AND(AA90="Alta",AC90="Catastrófico"),AND(AA90="Muy Alta",AC90="Catastrófico")),"Extremo","")))),"")</f>
        <v/>
      </c>
      <c r="AF90" s="116"/>
      <c r="AG90" s="121"/>
      <c r="AH90" s="122"/>
      <c r="AI90" s="123"/>
      <c r="AJ90" s="123"/>
      <c r="AK90" s="121"/>
      <c r="AL90" s="122"/>
    </row>
    <row r="91" spans="1:38" x14ac:dyDescent="0.3">
      <c r="A91" s="212"/>
      <c r="B91" s="139"/>
      <c r="C91" s="139"/>
      <c r="D91" s="213"/>
      <c r="E91" s="208"/>
      <c r="F91" s="141"/>
      <c r="G91" s="213"/>
      <c r="H91" s="140"/>
      <c r="I91" s="214"/>
      <c r="J91" s="204"/>
      <c r="K91" s="205"/>
      <c r="L91" s="207"/>
      <c r="M91" s="205">
        <f t="shared" ca="1" si="105"/>
        <v>0</v>
      </c>
      <c r="N91" s="204"/>
      <c r="O91" s="205"/>
      <c r="P91" s="206"/>
      <c r="Q91" s="113">
        <v>5</v>
      </c>
      <c r="R91" s="114"/>
      <c r="S91" s="115" t="str">
        <f t="shared" si="111"/>
        <v/>
      </c>
      <c r="T91" s="116"/>
      <c r="U91" s="116"/>
      <c r="V91" s="117" t="str">
        <f t="shared" si="106"/>
        <v/>
      </c>
      <c r="W91" s="116"/>
      <c r="X91" s="116"/>
      <c r="Y91" s="116"/>
      <c r="Z91" s="127" t="str">
        <f t="shared" si="112"/>
        <v/>
      </c>
      <c r="AA91" s="119" t="str">
        <f>IFERROR(IF(Z91="","",IF(Z91&lt;=0.2,"Muy Baja",IF(Z91&lt;=0.4,"Baja",IF(Z91&lt;=0.6,"Media",IF(Z91&lt;=0.8,"Alta","Muy Alta"))))),"")</f>
        <v/>
      </c>
      <c r="AB91" s="117" t="str">
        <f t="shared" si="108"/>
        <v/>
      </c>
      <c r="AC91" s="119" t="str">
        <f t="shared" si="109"/>
        <v/>
      </c>
      <c r="AD91" s="117" t="str">
        <f t="shared" si="113"/>
        <v/>
      </c>
      <c r="AE91" s="120" t="str">
        <f t="shared" ref="AE91:AE92" si="114">IFERROR(IF(OR(AND(AA91="Muy Baja",AC91="Leve"),AND(AA91="Muy Baja",AC91="Menor"),AND(AA91="Baja",AC91="Leve")),"Bajo",IF(OR(AND(AA91="Muy baja",AC91="Moderado"),AND(AA91="Baja",AC91="Menor"),AND(AA91="Baja",AC91="Moderado"),AND(AA91="Media",AC91="Leve"),AND(AA91="Media",AC91="Menor"),AND(AA91="Media",AC91="Moderado"),AND(AA91="Alta",AC91="Leve"),AND(AA91="Alta",AC91="Menor")),"Moderado",IF(OR(AND(AA91="Muy Baja",AC91="Mayor"),AND(AA91="Baja",AC91="Mayor"),AND(AA91="Media",AC91="Mayor"),AND(AA91="Alta",AC91="Moderado"),AND(AA91="Alta",AC91="Mayor"),AND(AA91="Muy Alta",AC91="Leve"),AND(AA91="Muy Alta",AC91="Menor"),AND(AA91="Muy Alta",AC91="Moderado"),AND(AA91="Muy Alta",AC91="Mayor")),"Alto",IF(OR(AND(AA91="Muy Baja",AC91="Catastrófico"),AND(AA91="Baja",AC91="Catastrófico"),AND(AA91="Media",AC91="Catastrófico"),AND(AA91="Alta",AC91="Catastrófico"),AND(AA91="Muy Alta",AC91="Catastrófico")),"Extremo","")))),"")</f>
        <v/>
      </c>
      <c r="AF91" s="116"/>
      <c r="AG91" s="121"/>
      <c r="AH91" s="122"/>
      <c r="AI91" s="123"/>
      <c r="AJ91" s="123"/>
      <c r="AK91" s="121"/>
      <c r="AL91" s="122"/>
    </row>
    <row r="92" spans="1:38" x14ac:dyDescent="0.3">
      <c r="A92" s="212"/>
      <c r="B92" s="139"/>
      <c r="C92" s="139"/>
      <c r="D92" s="213"/>
      <c r="E92" s="208"/>
      <c r="F92" s="141"/>
      <c r="G92" s="213"/>
      <c r="H92" s="140"/>
      <c r="I92" s="214"/>
      <c r="J92" s="204"/>
      <c r="K92" s="205"/>
      <c r="L92" s="207"/>
      <c r="M92" s="205">
        <f t="shared" ca="1" si="105"/>
        <v>0</v>
      </c>
      <c r="N92" s="204"/>
      <c r="O92" s="205"/>
      <c r="P92" s="206"/>
      <c r="Q92" s="113">
        <v>6</v>
      </c>
      <c r="R92" s="114"/>
      <c r="S92" s="115" t="str">
        <f t="shared" si="111"/>
        <v/>
      </c>
      <c r="T92" s="116"/>
      <c r="U92" s="116"/>
      <c r="V92" s="117" t="str">
        <f t="shared" si="106"/>
        <v/>
      </c>
      <c r="W92" s="116"/>
      <c r="X92" s="116"/>
      <c r="Y92" s="116"/>
      <c r="Z92" s="118" t="str">
        <f t="shared" si="112"/>
        <v/>
      </c>
      <c r="AA92" s="119" t="str">
        <f t="shared" ref="AA92" si="115">IFERROR(IF(Z92="","",IF(Z92&lt;=0.2,"Muy Baja",IF(Z92&lt;=0.4,"Baja",IF(Z92&lt;=0.6,"Media",IF(Z92&lt;=0.8,"Alta","Muy Alta"))))),"")</f>
        <v/>
      </c>
      <c r="AB92" s="117" t="str">
        <f t="shared" si="108"/>
        <v/>
      </c>
      <c r="AC92" s="119" t="str">
        <f t="shared" si="109"/>
        <v/>
      </c>
      <c r="AD92" s="117" t="str">
        <f t="shared" si="113"/>
        <v/>
      </c>
      <c r="AE92" s="120" t="str">
        <f t="shared" si="114"/>
        <v/>
      </c>
      <c r="AF92" s="116"/>
      <c r="AG92" s="121"/>
      <c r="AH92" s="122"/>
      <c r="AI92" s="123"/>
      <c r="AJ92" s="123"/>
      <c r="AK92" s="121"/>
      <c r="AL92" s="122"/>
    </row>
    <row r="93" spans="1:38" x14ac:dyDescent="0.3">
      <c r="A93" s="212">
        <v>5</v>
      </c>
      <c r="B93" s="139"/>
      <c r="C93" s="139"/>
      <c r="D93" s="213"/>
      <c r="E93" s="208"/>
      <c r="F93" s="141"/>
      <c r="G93" s="213"/>
      <c r="H93" s="140"/>
      <c r="I93" s="214"/>
      <c r="J93" s="204" t="str">
        <f>IF(I93&lt;=0,"",IF(I93&lt;=2,"Muy Baja",IF(I93&lt;=24,"Baja",IF(I93&lt;=500,"Media",IF(I93&lt;=5000,"Alta","Muy Alta")))))</f>
        <v/>
      </c>
      <c r="K93" s="205" t="str">
        <f>IF(J93="","",IF(J93="Muy Baja",0.2,IF(J93="Baja",0.4,IF(J93="Media",0.6,IF(J93="Alta",0.8,IF(J93="Muy Alta",1,))))))</f>
        <v/>
      </c>
      <c r="L93" s="207"/>
      <c r="M93" s="205">
        <f ca="1">IF(NOT(ISERROR(MATCH(L93,'Tabla Impacto'!$B$221:$B$223,0))),'Tabla Impacto'!$F$223&amp;"Por favor no seleccionar los criterios de impacto(Afectación Económica o presupuestal y Pérdida Reputacional)",L93)</f>
        <v>0</v>
      </c>
      <c r="N93" s="204" t="str">
        <f ca="1">IF(OR(M93='Tabla Impacto'!$C$11,M93='Tabla Impacto'!$D$11),"Leve",IF(OR(M93='Tabla Impacto'!$C$12,M93='Tabla Impacto'!$D$12),"Menor",IF(OR(M93='Tabla Impacto'!$C$13,M93='Tabla Impacto'!$D$13),"Moderado",IF(OR(M93='Tabla Impacto'!$C$14,M93='Tabla Impacto'!$D$14),"Mayor",IF(OR(M93='Tabla Impacto'!$C$15,M93='Tabla Impacto'!$D$15),"Catastrófico","")))))</f>
        <v/>
      </c>
      <c r="O93" s="205" t="str">
        <f ca="1">IF(N93="","",IF(N93="Leve",0.2,IF(N93="Menor",0.4,IF(N93="Moderado",0.6,IF(N93="Mayor",0.8,IF(N93="Catastrófico",1,))))))</f>
        <v/>
      </c>
      <c r="P93" s="206" t="str">
        <f ca="1">IF(OR(AND(J93="Muy Baja",N93="Leve"),AND(J93="Muy Baja",N93="Menor"),AND(J93="Baja",N93="Leve")),"Bajo",IF(OR(AND(J93="Muy baja",N93="Moderado"),AND(J93="Baja",N93="Menor"),AND(J93="Baja",N93="Moderado"),AND(J93="Media",N93="Leve"),AND(J93="Media",N93="Menor"),AND(J93="Media",N93="Moderado"),AND(J93="Alta",N93="Leve"),AND(J93="Alta",N93="Menor")),"Moderado",IF(OR(AND(J93="Muy Baja",N93="Mayor"),AND(J93="Baja",N93="Mayor"),AND(J93="Media",N93="Mayor"),AND(J93="Alta",N93="Moderado"),AND(J93="Alta",N93="Mayor"),AND(J93="Muy Alta",N93="Leve"),AND(J93="Muy Alta",N93="Menor"),AND(J93="Muy Alta",N93="Moderado"),AND(J93="Muy Alta",N93="Mayor")),"Alto",IF(OR(AND(J93="Muy Baja",N93="Catastrófico"),AND(J93="Baja",N93="Catastrófico"),AND(J93="Media",N93="Catastrófico"),AND(J93="Alta",N93="Catastrófico"),AND(J93="Muy Alta",N93="Catastrófico")),"Extremo",""))))</f>
        <v/>
      </c>
      <c r="Q93" s="113">
        <v>1</v>
      </c>
      <c r="R93" s="114"/>
      <c r="S93" s="115" t="str">
        <f>IF(OR(T93="Preventivo",T93="Detectivo"),"Probabilidad",IF(T93="Correctivo","Impacto",""))</f>
        <v/>
      </c>
      <c r="T93" s="116"/>
      <c r="U93" s="116"/>
      <c r="V93" s="117" t="str">
        <f>IF(AND(T93="Preventivo",U93="Automático"),"50%",IF(AND(T93="Preventivo",U93="Manual"),"40%",IF(AND(T93="Detectivo",U93="Automático"),"40%",IF(AND(T93="Detectivo",U93="Manual"),"30%",IF(AND(T93="Correctivo",U93="Automático"),"35%",IF(AND(T93="Correctivo",U93="Manual"),"25%",""))))))</f>
        <v/>
      </c>
      <c r="W93" s="116"/>
      <c r="X93" s="116"/>
      <c r="Y93" s="116"/>
      <c r="Z93" s="118" t="str">
        <f>IFERROR(IF(S93="Probabilidad",(K93-(+K93*V93)),IF(S93="Impacto",K93,"")),"")</f>
        <v/>
      </c>
      <c r="AA93" s="119" t="str">
        <f>IFERROR(IF(Z93="","",IF(Z93&lt;=0.2,"Muy Baja",IF(Z93&lt;=0.4,"Baja",IF(Z93&lt;=0.6,"Media",IF(Z93&lt;=0.8,"Alta","Muy Alta"))))),"")</f>
        <v/>
      </c>
      <c r="AB93" s="117" t="str">
        <f>+Z93</f>
        <v/>
      </c>
      <c r="AC93" s="119" t="str">
        <f>IFERROR(IF(AD93="","",IF(AD93&lt;=0.2,"Leve",IF(AD93&lt;=0.4,"Menor",IF(AD93&lt;=0.6,"Moderado",IF(AD93&lt;=0.8,"Mayor","Catastrófico"))))),"")</f>
        <v/>
      </c>
      <c r="AD93" s="117" t="str">
        <f>IFERROR(IF(S93="Impacto",(O93-(+O93*V93)),IF(S93="Probabilidad",O93,"")),"")</f>
        <v/>
      </c>
      <c r="AE93" s="120" t="str">
        <f>IFERROR(IF(OR(AND(AA93="Muy Baja",AC93="Leve"),AND(AA93="Muy Baja",AC93="Menor"),AND(AA93="Baja",AC93="Leve")),"Bajo",IF(OR(AND(AA93="Muy baja",AC93="Moderado"),AND(AA93="Baja",AC93="Menor"),AND(AA93="Baja",AC93="Moderado"),AND(AA93="Media",AC93="Leve"),AND(AA93="Media",AC93="Menor"),AND(AA93="Media",AC93="Moderado"),AND(AA93="Alta",AC93="Leve"),AND(AA93="Alta",AC93="Menor")),"Moderado",IF(OR(AND(AA93="Muy Baja",AC93="Mayor"),AND(AA93="Baja",AC93="Mayor"),AND(AA93="Media",AC93="Mayor"),AND(AA93="Alta",AC93="Moderado"),AND(AA93="Alta",AC93="Mayor"),AND(AA93="Muy Alta",AC93="Leve"),AND(AA93="Muy Alta",AC93="Menor"),AND(AA93="Muy Alta",AC93="Moderado"),AND(AA93="Muy Alta",AC93="Mayor")),"Alto",IF(OR(AND(AA93="Muy Baja",AC93="Catastrófico"),AND(AA93="Baja",AC93="Catastrófico"),AND(AA93="Media",AC93="Catastrófico"),AND(AA93="Alta",AC93="Catastrófico"),AND(AA93="Muy Alta",AC93="Catastrófico")),"Extremo","")))),"")</f>
        <v/>
      </c>
      <c r="AF93" s="116"/>
      <c r="AG93" s="121"/>
      <c r="AH93" s="122"/>
      <c r="AI93" s="123"/>
      <c r="AJ93" s="123"/>
      <c r="AK93" s="121"/>
      <c r="AL93" s="122"/>
    </row>
    <row r="94" spans="1:38" x14ac:dyDescent="0.3">
      <c r="A94" s="212"/>
      <c r="B94" s="139"/>
      <c r="C94" s="139"/>
      <c r="D94" s="213"/>
      <c r="E94" s="208"/>
      <c r="F94" s="141"/>
      <c r="G94" s="213"/>
      <c r="H94" s="140"/>
      <c r="I94" s="214"/>
      <c r="J94" s="204"/>
      <c r="K94" s="205"/>
      <c r="L94" s="207"/>
      <c r="M94" s="205">
        <f t="shared" ref="M94:M98" ca="1" si="116">IF(NOT(ISERROR(MATCH(L94,_xlfn.ANCHORARRAY(E105),0))),K107&amp;"Por favor no seleccionar los criterios de impacto",L94)</f>
        <v>0</v>
      </c>
      <c r="N94" s="204"/>
      <c r="O94" s="205"/>
      <c r="P94" s="206"/>
      <c r="Q94" s="113">
        <v>2</v>
      </c>
      <c r="R94" s="114"/>
      <c r="S94" s="115" t="str">
        <f>IF(OR(T94="Preventivo",T94="Detectivo"),"Probabilidad",IF(T94="Correctivo","Impacto",""))</f>
        <v/>
      </c>
      <c r="T94" s="116"/>
      <c r="U94" s="116"/>
      <c r="V94" s="117" t="str">
        <f t="shared" ref="V94:V98" si="117">IF(AND(T94="Preventivo",U94="Automático"),"50%",IF(AND(T94="Preventivo",U94="Manual"),"40%",IF(AND(T94="Detectivo",U94="Automático"),"40%",IF(AND(T94="Detectivo",U94="Manual"),"30%",IF(AND(T94="Correctivo",U94="Automático"),"35%",IF(AND(T94="Correctivo",U94="Manual"),"25%",""))))))</f>
        <v/>
      </c>
      <c r="W94" s="116"/>
      <c r="X94" s="116"/>
      <c r="Y94" s="116"/>
      <c r="Z94" s="118" t="str">
        <f>IFERROR(IF(AND(S93="Probabilidad",S94="Probabilidad"),(AB93-(+AB93*V94)),IF(S94="Probabilidad",(K93-(+K93*V94)),IF(S94="Impacto",AB93,""))),"")</f>
        <v/>
      </c>
      <c r="AA94" s="119" t="str">
        <f t="shared" ref="AA94:AA98" si="118">IFERROR(IF(Z94="","",IF(Z94&lt;=0.2,"Muy Baja",IF(Z94&lt;=0.4,"Baja",IF(Z94&lt;=0.6,"Media",IF(Z94&lt;=0.8,"Alta","Muy Alta"))))),"")</f>
        <v/>
      </c>
      <c r="AB94" s="117" t="str">
        <f t="shared" ref="AB94:AB98" si="119">+Z94</f>
        <v/>
      </c>
      <c r="AC94" s="119" t="str">
        <f t="shared" ref="AC94:AC98" si="120">IFERROR(IF(AD94="","",IF(AD94&lt;=0.2,"Leve",IF(AD94&lt;=0.4,"Menor",IF(AD94&lt;=0.6,"Moderado",IF(AD94&lt;=0.8,"Mayor","Catastrófico"))))),"")</f>
        <v/>
      </c>
      <c r="AD94" s="117" t="str">
        <f>IFERROR(IF(AND(S93="Impacto",S94="Impacto"),(AD87-(+AD87*V94)),IF(S94="Impacto",($O$33-(+$O$33*V94)),IF(S94="Probabilidad",AD87,""))),"")</f>
        <v/>
      </c>
      <c r="AE94" s="120" t="str">
        <f t="shared" ref="AE94:AE95" si="121">IFERROR(IF(OR(AND(AA94="Muy Baja",AC94="Leve"),AND(AA94="Muy Baja",AC94="Menor"),AND(AA94="Baja",AC94="Leve")),"Bajo",IF(OR(AND(AA94="Muy baja",AC94="Moderado"),AND(AA94="Baja",AC94="Menor"),AND(AA94="Baja",AC94="Moderado"),AND(AA94="Media",AC94="Leve"),AND(AA94="Media",AC94="Menor"),AND(AA94="Media",AC94="Moderado"),AND(AA94="Alta",AC94="Leve"),AND(AA94="Alta",AC94="Menor")),"Moderado",IF(OR(AND(AA94="Muy Baja",AC94="Mayor"),AND(AA94="Baja",AC94="Mayor"),AND(AA94="Media",AC94="Mayor"),AND(AA94="Alta",AC94="Moderado"),AND(AA94="Alta",AC94="Mayor"),AND(AA94="Muy Alta",AC94="Leve"),AND(AA94="Muy Alta",AC94="Menor"),AND(AA94="Muy Alta",AC94="Moderado"),AND(AA94="Muy Alta",AC94="Mayor")),"Alto",IF(OR(AND(AA94="Muy Baja",AC94="Catastrófico"),AND(AA94="Baja",AC94="Catastrófico"),AND(AA94="Media",AC94="Catastrófico"),AND(AA94="Alta",AC94="Catastrófico"),AND(AA94="Muy Alta",AC94="Catastrófico")),"Extremo","")))),"")</f>
        <v/>
      </c>
      <c r="AF94" s="116"/>
      <c r="AG94" s="121"/>
      <c r="AH94" s="122"/>
      <c r="AI94" s="123"/>
      <c r="AJ94" s="123"/>
      <c r="AK94" s="121"/>
      <c r="AL94" s="122"/>
    </row>
    <row r="95" spans="1:38" x14ac:dyDescent="0.3">
      <c r="A95" s="212"/>
      <c r="B95" s="139"/>
      <c r="C95" s="139"/>
      <c r="D95" s="213"/>
      <c r="E95" s="208"/>
      <c r="F95" s="141"/>
      <c r="G95" s="213"/>
      <c r="H95" s="140"/>
      <c r="I95" s="214"/>
      <c r="J95" s="204"/>
      <c r="K95" s="205"/>
      <c r="L95" s="207"/>
      <c r="M95" s="205">
        <f t="shared" ca="1" si="116"/>
        <v>0</v>
      </c>
      <c r="N95" s="204"/>
      <c r="O95" s="205"/>
      <c r="P95" s="206"/>
      <c r="Q95" s="113">
        <v>3</v>
      </c>
      <c r="R95" s="126"/>
      <c r="S95" s="115" t="str">
        <f>IF(OR(T95="Preventivo",T95="Detectivo"),"Probabilidad",IF(T95="Correctivo","Impacto",""))</f>
        <v/>
      </c>
      <c r="T95" s="116"/>
      <c r="U95" s="116"/>
      <c r="V95" s="117" t="str">
        <f t="shared" si="117"/>
        <v/>
      </c>
      <c r="W95" s="116"/>
      <c r="X95" s="116"/>
      <c r="Y95" s="116"/>
      <c r="Z95" s="118" t="str">
        <f>IFERROR(IF(AND(S94="Probabilidad",S95="Probabilidad"),(AB94-(+AB94*V95)),IF(AND(S94="Impacto",S95="Probabilidad"),(AB93-(+AB93*V95)),IF(S95="Impacto",AB94,""))),"")</f>
        <v/>
      </c>
      <c r="AA95" s="119" t="str">
        <f t="shared" si="118"/>
        <v/>
      </c>
      <c r="AB95" s="117" t="str">
        <f t="shared" si="119"/>
        <v/>
      </c>
      <c r="AC95" s="119" t="str">
        <f t="shared" si="120"/>
        <v/>
      </c>
      <c r="AD95" s="117" t="str">
        <f>IFERROR(IF(AND(S94="Impacto",S95="Impacto"),(AD94-(+AD94*V95)),IF(AND(S94="Probabilidad",S95="Impacto"),(AD93-(+AD93*V95)),IF(S95="Probabilidad",AD94,""))),"")</f>
        <v/>
      </c>
      <c r="AE95" s="120" t="str">
        <f t="shared" si="121"/>
        <v/>
      </c>
      <c r="AF95" s="116"/>
      <c r="AG95" s="121"/>
      <c r="AH95" s="122"/>
      <c r="AI95" s="123"/>
      <c r="AJ95" s="123"/>
      <c r="AK95" s="121"/>
      <c r="AL95" s="122"/>
    </row>
    <row r="96" spans="1:38" x14ac:dyDescent="0.3">
      <c r="A96" s="212"/>
      <c r="B96" s="139"/>
      <c r="C96" s="139"/>
      <c r="D96" s="213"/>
      <c r="E96" s="208"/>
      <c r="F96" s="141"/>
      <c r="G96" s="213"/>
      <c r="H96" s="140"/>
      <c r="I96" s="214"/>
      <c r="J96" s="204"/>
      <c r="K96" s="205"/>
      <c r="L96" s="207"/>
      <c r="M96" s="205">
        <f t="shared" ca="1" si="116"/>
        <v>0</v>
      </c>
      <c r="N96" s="204"/>
      <c r="O96" s="205"/>
      <c r="P96" s="206"/>
      <c r="Q96" s="113">
        <v>4</v>
      </c>
      <c r="R96" s="114"/>
      <c r="S96" s="115" t="str">
        <f t="shared" ref="S96:S98" si="122">IF(OR(T96="Preventivo",T96="Detectivo"),"Probabilidad",IF(T96="Correctivo","Impacto",""))</f>
        <v/>
      </c>
      <c r="T96" s="116"/>
      <c r="U96" s="116"/>
      <c r="V96" s="117" t="str">
        <f t="shared" si="117"/>
        <v/>
      </c>
      <c r="W96" s="116"/>
      <c r="X96" s="116"/>
      <c r="Y96" s="116"/>
      <c r="Z96" s="118" t="str">
        <f t="shared" ref="Z96:Z98" si="123">IFERROR(IF(AND(S95="Probabilidad",S96="Probabilidad"),(AB95-(+AB95*V96)),IF(AND(S95="Impacto",S96="Probabilidad"),(AB94-(+AB94*V96)),IF(S96="Impacto",AB95,""))),"")</f>
        <v/>
      </c>
      <c r="AA96" s="119" t="str">
        <f t="shared" si="118"/>
        <v/>
      </c>
      <c r="AB96" s="117" t="str">
        <f t="shared" si="119"/>
        <v/>
      </c>
      <c r="AC96" s="119" t="str">
        <f t="shared" si="120"/>
        <v/>
      </c>
      <c r="AD96" s="117" t="str">
        <f t="shared" ref="AD96:AD98" si="124">IFERROR(IF(AND(S95="Impacto",S96="Impacto"),(AD95-(+AD95*V96)),IF(AND(S95="Probabilidad",S96="Impacto"),(AD94-(+AD94*V96)),IF(S96="Probabilidad",AD95,""))),"")</f>
        <v/>
      </c>
      <c r="AE96" s="120" t="str">
        <f>IFERROR(IF(OR(AND(AA96="Muy Baja",AC96="Leve"),AND(AA96="Muy Baja",AC96="Menor"),AND(AA96="Baja",AC96="Leve")),"Bajo",IF(OR(AND(AA96="Muy baja",AC96="Moderado"),AND(AA96="Baja",AC96="Menor"),AND(AA96="Baja",AC96="Moderado"),AND(AA96="Media",AC96="Leve"),AND(AA96="Media",AC96="Menor"),AND(AA96="Media",AC96="Moderado"),AND(AA96="Alta",AC96="Leve"),AND(AA96="Alta",AC96="Menor")),"Moderado",IF(OR(AND(AA96="Muy Baja",AC96="Mayor"),AND(AA96="Baja",AC96="Mayor"),AND(AA96="Media",AC96="Mayor"),AND(AA96="Alta",AC96="Moderado"),AND(AA96="Alta",AC96="Mayor"),AND(AA96="Muy Alta",AC96="Leve"),AND(AA96="Muy Alta",AC96="Menor"),AND(AA96="Muy Alta",AC96="Moderado"),AND(AA96="Muy Alta",AC96="Mayor")),"Alto",IF(OR(AND(AA96="Muy Baja",AC96="Catastrófico"),AND(AA96="Baja",AC96="Catastrófico"),AND(AA96="Media",AC96="Catastrófico"),AND(AA96="Alta",AC96="Catastrófico"),AND(AA96="Muy Alta",AC96="Catastrófico")),"Extremo","")))),"")</f>
        <v/>
      </c>
      <c r="AF96" s="116"/>
      <c r="AG96" s="121"/>
      <c r="AH96" s="122"/>
      <c r="AI96" s="123"/>
      <c r="AJ96" s="123"/>
      <c r="AK96" s="121"/>
      <c r="AL96" s="122"/>
    </row>
    <row r="97" spans="1:38" x14ac:dyDescent="0.3">
      <c r="A97" s="212"/>
      <c r="B97" s="139"/>
      <c r="C97" s="139"/>
      <c r="D97" s="213"/>
      <c r="E97" s="208"/>
      <c r="F97" s="141"/>
      <c r="G97" s="213"/>
      <c r="H97" s="140"/>
      <c r="I97" s="214"/>
      <c r="J97" s="204"/>
      <c r="K97" s="205"/>
      <c r="L97" s="207"/>
      <c r="M97" s="205">
        <f t="shared" ca="1" si="116"/>
        <v>0</v>
      </c>
      <c r="N97" s="204"/>
      <c r="O97" s="205"/>
      <c r="P97" s="206"/>
      <c r="Q97" s="113">
        <v>5</v>
      </c>
      <c r="R97" s="114"/>
      <c r="S97" s="115" t="str">
        <f t="shared" si="122"/>
        <v/>
      </c>
      <c r="T97" s="116"/>
      <c r="U97" s="116"/>
      <c r="V97" s="117" t="str">
        <f t="shared" si="117"/>
        <v/>
      </c>
      <c r="W97" s="116"/>
      <c r="X97" s="116"/>
      <c r="Y97" s="116"/>
      <c r="Z97" s="118" t="str">
        <f t="shared" si="123"/>
        <v/>
      </c>
      <c r="AA97" s="119" t="str">
        <f t="shared" si="118"/>
        <v/>
      </c>
      <c r="AB97" s="117" t="str">
        <f t="shared" si="119"/>
        <v/>
      </c>
      <c r="AC97" s="119" t="str">
        <f t="shared" si="120"/>
        <v/>
      </c>
      <c r="AD97" s="117" t="str">
        <f t="shared" si="124"/>
        <v/>
      </c>
      <c r="AE97" s="120" t="str">
        <f t="shared" ref="AE97:AE98" si="125">IFERROR(IF(OR(AND(AA97="Muy Baja",AC97="Leve"),AND(AA97="Muy Baja",AC97="Menor"),AND(AA97="Baja",AC97="Leve")),"Bajo",IF(OR(AND(AA97="Muy baja",AC97="Moderado"),AND(AA97="Baja",AC97="Menor"),AND(AA97="Baja",AC97="Moderado"),AND(AA97="Media",AC97="Leve"),AND(AA97="Media",AC97="Menor"),AND(AA97="Media",AC97="Moderado"),AND(AA97="Alta",AC97="Leve"),AND(AA97="Alta",AC97="Menor")),"Moderado",IF(OR(AND(AA97="Muy Baja",AC97="Mayor"),AND(AA97="Baja",AC97="Mayor"),AND(AA97="Media",AC97="Mayor"),AND(AA97="Alta",AC97="Moderado"),AND(AA97="Alta",AC97="Mayor"),AND(AA97="Muy Alta",AC97="Leve"),AND(AA97="Muy Alta",AC97="Menor"),AND(AA97="Muy Alta",AC97="Moderado"),AND(AA97="Muy Alta",AC97="Mayor")),"Alto",IF(OR(AND(AA97="Muy Baja",AC97="Catastrófico"),AND(AA97="Baja",AC97="Catastrófico"),AND(AA97="Media",AC97="Catastrófico"),AND(AA97="Alta",AC97="Catastrófico"),AND(AA97="Muy Alta",AC97="Catastrófico")),"Extremo","")))),"")</f>
        <v/>
      </c>
      <c r="AF97" s="116"/>
      <c r="AG97" s="121"/>
      <c r="AH97" s="122"/>
      <c r="AI97" s="123"/>
      <c r="AJ97" s="123"/>
      <c r="AK97" s="121"/>
      <c r="AL97" s="122"/>
    </row>
    <row r="98" spans="1:38" x14ac:dyDescent="0.3">
      <c r="A98" s="212"/>
      <c r="B98" s="139"/>
      <c r="C98" s="139"/>
      <c r="D98" s="213"/>
      <c r="E98" s="208"/>
      <c r="F98" s="141"/>
      <c r="G98" s="213"/>
      <c r="H98" s="140"/>
      <c r="I98" s="214"/>
      <c r="J98" s="204"/>
      <c r="K98" s="205"/>
      <c r="L98" s="207"/>
      <c r="M98" s="205">
        <f t="shared" ca="1" si="116"/>
        <v>0</v>
      </c>
      <c r="N98" s="204"/>
      <c r="O98" s="205"/>
      <c r="P98" s="206"/>
      <c r="Q98" s="113">
        <v>6</v>
      </c>
      <c r="R98" s="114"/>
      <c r="S98" s="115" t="str">
        <f t="shared" si="122"/>
        <v/>
      </c>
      <c r="T98" s="116"/>
      <c r="U98" s="116"/>
      <c r="V98" s="117" t="str">
        <f t="shared" si="117"/>
        <v/>
      </c>
      <c r="W98" s="116"/>
      <c r="X98" s="116"/>
      <c r="Y98" s="116"/>
      <c r="Z98" s="118" t="str">
        <f t="shared" si="123"/>
        <v/>
      </c>
      <c r="AA98" s="119" t="str">
        <f t="shared" si="118"/>
        <v/>
      </c>
      <c r="AB98" s="117" t="str">
        <f t="shared" si="119"/>
        <v/>
      </c>
      <c r="AC98" s="119" t="str">
        <f t="shared" si="120"/>
        <v/>
      </c>
      <c r="AD98" s="117" t="str">
        <f t="shared" si="124"/>
        <v/>
      </c>
      <c r="AE98" s="120" t="str">
        <f t="shared" si="125"/>
        <v/>
      </c>
      <c r="AF98" s="116"/>
      <c r="AG98" s="121"/>
      <c r="AH98" s="122"/>
      <c r="AI98" s="123"/>
      <c r="AJ98" s="123"/>
      <c r="AK98" s="121"/>
      <c r="AL98" s="122"/>
    </row>
    <row r="99" spans="1:38" x14ac:dyDescent="0.3">
      <c r="A99" s="212">
        <v>6</v>
      </c>
      <c r="B99" s="139"/>
      <c r="C99" s="139"/>
      <c r="D99" s="213"/>
      <c r="E99" s="208"/>
      <c r="F99" s="141"/>
      <c r="G99" s="213"/>
      <c r="H99" s="140"/>
      <c r="I99" s="214"/>
      <c r="J99" s="204" t="str">
        <f>IF(I99&lt;=0,"",IF(I99&lt;=2,"Muy Baja",IF(I99&lt;=24,"Baja",IF(I99&lt;=500,"Media",IF(I99&lt;=5000,"Alta","Muy Alta")))))</f>
        <v/>
      </c>
      <c r="K99" s="205" t="str">
        <f>IF(J99="","",IF(J99="Muy Baja",0.2,IF(J99="Baja",0.4,IF(J99="Media",0.6,IF(J99="Alta",0.8,IF(J99="Muy Alta",1,))))))</f>
        <v/>
      </c>
      <c r="L99" s="207"/>
      <c r="M99" s="205">
        <f ca="1">IF(NOT(ISERROR(MATCH(L99,'Tabla Impacto'!$B$221:$B$223,0))),'Tabla Impacto'!$F$223&amp;"Por favor no seleccionar los criterios de impacto(Afectación Económica o presupuestal y Pérdida Reputacional)",L99)</f>
        <v>0</v>
      </c>
      <c r="N99" s="204" t="str">
        <f ca="1">IF(OR(M99='Tabla Impacto'!$C$11,M99='Tabla Impacto'!$D$11),"Leve",IF(OR(M99='Tabla Impacto'!$C$12,M99='Tabla Impacto'!$D$12),"Menor",IF(OR(M99='Tabla Impacto'!$C$13,M99='Tabla Impacto'!$D$13),"Moderado",IF(OR(M99='Tabla Impacto'!$C$14,M99='Tabla Impacto'!$D$14),"Mayor",IF(OR(M99='Tabla Impacto'!$C$15,M99='Tabla Impacto'!$D$15),"Catastrófico","")))))</f>
        <v/>
      </c>
      <c r="O99" s="205" t="str">
        <f ca="1">IF(N99="","",IF(N99="Leve",0.2,IF(N99="Menor",0.4,IF(N99="Moderado",0.6,IF(N99="Mayor",0.8,IF(N99="Catastrófico",1,))))))</f>
        <v/>
      </c>
      <c r="P99" s="206" t="str">
        <f ca="1">IF(OR(AND(J99="Muy Baja",N99="Leve"),AND(J99="Muy Baja",N99="Menor"),AND(J99="Baja",N99="Leve")),"Bajo",IF(OR(AND(J99="Muy baja",N99="Moderado"),AND(J99="Baja",N99="Menor"),AND(J99="Baja",N99="Moderado"),AND(J99="Media",N99="Leve"),AND(J99="Media",N99="Menor"),AND(J99="Media",N99="Moderado"),AND(J99="Alta",N99="Leve"),AND(J99="Alta",N99="Menor")),"Moderado",IF(OR(AND(J99="Muy Baja",N99="Mayor"),AND(J99="Baja",N99="Mayor"),AND(J99="Media",N99="Mayor"),AND(J99="Alta",N99="Moderado"),AND(J99="Alta",N99="Mayor"),AND(J99="Muy Alta",N99="Leve"),AND(J99="Muy Alta",N99="Menor"),AND(J99="Muy Alta",N99="Moderado"),AND(J99="Muy Alta",N99="Mayor")),"Alto",IF(OR(AND(J99="Muy Baja",N99="Catastrófico"),AND(J99="Baja",N99="Catastrófico"),AND(J99="Media",N99="Catastrófico"),AND(J99="Alta",N99="Catastrófico"),AND(J99="Muy Alta",N99="Catastrófico")),"Extremo",""))))</f>
        <v/>
      </c>
      <c r="Q99" s="113">
        <v>1</v>
      </c>
      <c r="R99" s="114"/>
      <c r="S99" s="115" t="str">
        <f>IF(OR(T99="Preventivo",T99="Detectivo"),"Probabilidad",IF(T99="Correctivo","Impacto",""))</f>
        <v/>
      </c>
      <c r="T99" s="116"/>
      <c r="U99" s="116"/>
      <c r="V99" s="117" t="str">
        <f>IF(AND(T99="Preventivo",U99="Automático"),"50%",IF(AND(T99="Preventivo",U99="Manual"),"40%",IF(AND(T99="Detectivo",U99="Automático"),"40%",IF(AND(T99="Detectivo",U99="Manual"),"30%",IF(AND(T99="Correctivo",U99="Automático"),"35%",IF(AND(T99="Correctivo",U99="Manual"),"25%",""))))))</f>
        <v/>
      </c>
      <c r="W99" s="116"/>
      <c r="X99" s="116"/>
      <c r="Y99" s="116"/>
      <c r="Z99" s="118" t="str">
        <f>IFERROR(IF(S99="Probabilidad",(K99-(+K99*V99)),IF(S99="Impacto",K99,"")),"")</f>
        <v/>
      </c>
      <c r="AA99" s="119" t="str">
        <f>IFERROR(IF(Z99="","",IF(Z99&lt;=0.2,"Muy Baja",IF(Z99&lt;=0.4,"Baja",IF(Z99&lt;=0.6,"Media",IF(Z99&lt;=0.8,"Alta","Muy Alta"))))),"")</f>
        <v/>
      </c>
      <c r="AB99" s="117" t="str">
        <f>+Z99</f>
        <v/>
      </c>
      <c r="AC99" s="119" t="str">
        <f>IFERROR(IF(AD99="","",IF(AD99&lt;=0.2,"Leve",IF(AD99&lt;=0.4,"Menor",IF(AD99&lt;=0.6,"Moderado",IF(AD99&lt;=0.8,"Mayor","Catastrófico"))))),"")</f>
        <v/>
      </c>
      <c r="AD99" s="117" t="str">
        <f>IFERROR(IF(S99="Impacto",(O99-(+O99*V99)),IF(S99="Probabilidad",O99,"")),"")</f>
        <v/>
      </c>
      <c r="AE99" s="120" t="str">
        <f>IFERROR(IF(OR(AND(AA99="Muy Baja",AC99="Leve"),AND(AA99="Muy Baja",AC99="Menor"),AND(AA99="Baja",AC99="Leve")),"Bajo",IF(OR(AND(AA99="Muy baja",AC99="Moderado"),AND(AA99="Baja",AC99="Menor"),AND(AA99="Baja",AC99="Moderado"),AND(AA99="Media",AC99="Leve"),AND(AA99="Media",AC99="Menor"),AND(AA99="Media",AC99="Moderado"),AND(AA99="Alta",AC99="Leve"),AND(AA99="Alta",AC99="Menor")),"Moderado",IF(OR(AND(AA99="Muy Baja",AC99="Mayor"),AND(AA99="Baja",AC99="Mayor"),AND(AA99="Media",AC99="Mayor"),AND(AA99="Alta",AC99="Moderado"),AND(AA99="Alta",AC99="Mayor"),AND(AA99="Muy Alta",AC99="Leve"),AND(AA99="Muy Alta",AC99="Menor"),AND(AA99="Muy Alta",AC99="Moderado"),AND(AA99="Muy Alta",AC99="Mayor")),"Alto",IF(OR(AND(AA99="Muy Baja",AC99="Catastrófico"),AND(AA99="Baja",AC99="Catastrófico"),AND(AA99="Media",AC99="Catastrófico"),AND(AA99="Alta",AC99="Catastrófico"),AND(AA99="Muy Alta",AC99="Catastrófico")),"Extremo","")))),"")</f>
        <v/>
      </c>
      <c r="AF99" s="116"/>
      <c r="AG99" s="121"/>
      <c r="AH99" s="122"/>
      <c r="AI99" s="123"/>
      <c r="AJ99" s="123"/>
      <c r="AK99" s="121"/>
      <c r="AL99" s="122"/>
    </row>
    <row r="100" spans="1:38" x14ac:dyDescent="0.3">
      <c r="A100" s="212"/>
      <c r="B100" s="139"/>
      <c r="C100" s="139"/>
      <c r="D100" s="213"/>
      <c r="E100" s="208"/>
      <c r="F100" s="141"/>
      <c r="G100" s="213"/>
      <c r="H100" s="140"/>
      <c r="I100" s="214"/>
      <c r="J100" s="204"/>
      <c r="K100" s="205"/>
      <c r="L100" s="207"/>
      <c r="M100" s="205">
        <f t="shared" ref="M100:M104" ca="1" si="126">IF(NOT(ISERROR(MATCH(L100,_xlfn.ANCHORARRAY(E111),0))),K113&amp;"Por favor no seleccionar los criterios de impacto",L100)</f>
        <v>0</v>
      </c>
      <c r="N100" s="204"/>
      <c r="O100" s="205"/>
      <c r="P100" s="206"/>
      <c r="Q100" s="113">
        <v>2</v>
      </c>
      <c r="R100" s="114"/>
      <c r="S100" s="115" t="str">
        <f>IF(OR(T100="Preventivo",T100="Detectivo"),"Probabilidad",IF(T100="Correctivo","Impacto",""))</f>
        <v/>
      </c>
      <c r="T100" s="116"/>
      <c r="U100" s="116"/>
      <c r="V100" s="117" t="str">
        <f t="shared" ref="V100:V104" si="127">IF(AND(T100="Preventivo",U100="Automático"),"50%",IF(AND(T100="Preventivo",U100="Manual"),"40%",IF(AND(T100="Detectivo",U100="Automático"),"40%",IF(AND(T100="Detectivo",U100="Manual"),"30%",IF(AND(T100="Correctivo",U100="Automático"),"35%",IF(AND(T100="Correctivo",U100="Manual"),"25%",""))))))</f>
        <v/>
      </c>
      <c r="W100" s="116"/>
      <c r="X100" s="116"/>
      <c r="Y100" s="116"/>
      <c r="Z100" s="118" t="str">
        <f>IFERROR(IF(AND(S99="Probabilidad",S100="Probabilidad"),(AB99-(+AB99*V100)),IF(S100="Probabilidad",(K99-(+K99*V100)),IF(S100="Impacto",AB99,""))),"")</f>
        <v/>
      </c>
      <c r="AA100" s="119" t="str">
        <f t="shared" ref="AA100:AA104" si="128">IFERROR(IF(Z100="","",IF(Z100&lt;=0.2,"Muy Baja",IF(Z100&lt;=0.4,"Baja",IF(Z100&lt;=0.6,"Media",IF(Z100&lt;=0.8,"Alta","Muy Alta"))))),"")</f>
        <v/>
      </c>
      <c r="AB100" s="117" t="str">
        <f t="shared" ref="AB100:AB104" si="129">+Z100</f>
        <v/>
      </c>
      <c r="AC100" s="119" t="str">
        <f t="shared" ref="AC100:AC103" si="130">IFERROR(IF(AD100="","",IF(AD100&lt;=0.2,"Leve",IF(AD100&lt;=0.4,"Menor",IF(AD100&lt;=0.6,"Moderado",IF(AD100&lt;=0.8,"Mayor","Catastrófico"))))),"")</f>
        <v/>
      </c>
      <c r="AD100" s="117" t="str">
        <f>IFERROR(IF(AND(S99="Impacto",S100="Impacto"),(AD93-(+AD93*V100)),IF(S100="Impacto",($O$39-(+$O$39*V100)),IF(S100="Probabilidad",AD93,""))),"")</f>
        <v/>
      </c>
      <c r="AE100" s="120" t="str">
        <f t="shared" ref="AE100:AE101" si="131">IFERROR(IF(OR(AND(AA100="Muy Baja",AC100="Leve"),AND(AA100="Muy Baja",AC100="Menor"),AND(AA100="Baja",AC100="Leve")),"Bajo",IF(OR(AND(AA100="Muy baja",AC100="Moderado"),AND(AA100="Baja",AC100="Menor"),AND(AA100="Baja",AC100="Moderado"),AND(AA100="Media",AC100="Leve"),AND(AA100="Media",AC100="Menor"),AND(AA100="Media",AC100="Moderado"),AND(AA100="Alta",AC100="Leve"),AND(AA100="Alta",AC100="Menor")),"Moderado",IF(OR(AND(AA100="Muy Baja",AC100="Mayor"),AND(AA100="Baja",AC100="Mayor"),AND(AA100="Media",AC100="Mayor"),AND(AA100="Alta",AC100="Moderado"),AND(AA100="Alta",AC100="Mayor"),AND(AA100="Muy Alta",AC100="Leve"),AND(AA100="Muy Alta",AC100="Menor"),AND(AA100="Muy Alta",AC100="Moderado"),AND(AA100="Muy Alta",AC100="Mayor")),"Alto",IF(OR(AND(AA100="Muy Baja",AC100="Catastrófico"),AND(AA100="Baja",AC100="Catastrófico"),AND(AA100="Media",AC100="Catastrófico"),AND(AA100="Alta",AC100="Catastrófico"),AND(AA100="Muy Alta",AC100="Catastrófico")),"Extremo","")))),"")</f>
        <v/>
      </c>
      <c r="AF100" s="116"/>
      <c r="AG100" s="121"/>
      <c r="AH100" s="122"/>
      <c r="AI100" s="123"/>
      <c r="AJ100" s="123"/>
      <c r="AK100" s="121"/>
      <c r="AL100" s="122"/>
    </row>
    <row r="101" spans="1:38" x14ac:dyDescent="0.3">
      <c r="A101" s="212"/>
      <c r="B101" s="139"/>
      <c r="C101" s="139"/>
      <c r="D101" s="213"/>
      <c r="E101" s="208"/>
      <c r="F101" s="141"/>
      <c r="G101" s="213"/>
      <c r="H101" s="140"/>
      <c r="I101" s="214"/>
      <c r="J101" s="204"/>
      <c r="K101" s="205"/>
      <c r="L101" s="207"/>
      <c r="M101" s="205">
        <f t="shared" ca="1" si="126"/>
        <v>0</v>
      </c>
      <c r="N101" s="204"/>
      <c r="O101" s="205"/>
      <c r="P101" s="206"/>
      <c r="Q101" s="113">
        <v>3</v>
      </c>
      <c r="R101" s="126"/>
      <c r="S101" s="115" t="str">
        <f>IF(OR(T101="Preventivo",T101="Detectivo"),"Probabilidad",IF(T101="Correctivo","Impacto",""))</f>
        <v/>
      </c>
      <c r="T101" s="116"/>
      <c r="U101" s="116"/>
      <c r="V101" s="117" t="str">
        <f t="shared" si="127"/>
        <v/>
      </c>
      <c r="W101" s="116"/>
      <c r="X101" s="116"/>
      <c r="Y101" s="116"/>
      <c r="Z101" s="118" t="str">
        <f>IFERROR(IF(AND(S100="Probabilidad",S101="Probabilidad"),(AB100-(+AB100*V101)),IF(AND(S100="Impacto",S101="Probabilidad"),(AB99-(+AB99*V101)),IF(S101="Impacto",AB100,""))),"")</f>
        <v/>
      </c>
      <c r="AA101" s="119" t="str">
        <f t="shared" si="128"/>
        <v/>
      </c>
      <c r="AB101" s="117" t="str">
        <f t="shared" si="129"/>
        <v/>
      </c>
      <c r="AC101" s="119" t="str">
        <f t="shared" si="130"/>
        <v/>
      </c>
      <c r="AD101" s="117" t="str">
        <f>IFERROR(IF(AND(S100="Impacto",S101="Impacto"),(AD100-(+AD100*V101)),IF(AND(S100="Probabilidad",S101="Impacto"),(AD99-(+AD99*V101)),IF(S101="Probabilidad",AD100,""))),"")</f>
        <v/>
      </c>
      <c r="AE101" s="120" t="str">
        <f t="shared" si="131"/>
        <v/>
      </c>
      <c r="AF101" s="116"/>
      <c r="AG101" s="121"/>
      <c r="AH101" s="122"/>
      <c r="AI101" s="123"/>
      <c r="AJ101" s="123"/>
      <c r="AK101" s="121"/>
      <c r="AL101" s="122"/>
    </row>
    <row r="102" spans="1:38" x14ac:dyDescent="0.3">
      <c r="A102" s="212"/>
      <c r="B102" s="139"/>
      <c r="C102" s="139"/>
      <c r="D102" s="213"/>
      <c r="E102" s="208"/>
      <c r="F102" s="141"/>
      <c r="G102" s="213"/>
      <c r="H102" s="140"/>
      <c r="I102" s="214"/>
      <c r="J102" s="204"/>
      <c r="K102" s="205"/>
      <c r="L102" s="207"/>
      <c r="M102" s="205">
        <f t="shared" ca="1" si="126"/>
        <v>0</v>
      </c>
      <c r="N102" s="204"/>
      <c r="O102" s="205"/>
      <c r="P102" s="206"/>
      <c r="Q102" s="113">
        <v>4</v>
      </c>
      <c r="R102" s="114"/>
      <c r="S102" s="115" t="str">
        <f t="shared" ref="S102:S104" si="132">IF(OR(T102="Preventivo",T102="Detectivo"),"Probabilidad",IF(T102="Correctivo","Impacto",""))</f>
        <v/>
      </c>
      <c r="T102" s="116"/>
      <c r="U102" s="116"/>
      <c r="V102" s="117" t="str">
        <f t="shared" si="127"/>
        <v/>
      </c>
      <c r="W102" s="116"/>
      <c r="X102" s="116"/>
      <c r="Y102" s="116"/>
      <c r="Z102" s="118" t="str">
        <f t="shared" ref="Z102:Z104" si="133">IFERROR(IF(AND(S101="Probabilidad",S102="Probabilidad"),(AB101-(+AB101*V102)),IF(AND(S101="Impacto",S102="Probabilidad"),(AB100-(+AB100*V102)),IF(S102="Impacto",AB101,""))),"")</f>
        <v/>
      </c>
      <c r="AA102" s="119" t="str">
        <f t="shared" si="128"/>
        <v/>
      </c>
      <c r="AB102" s="117" t="str">
        <f t="shared" si="129"/>
        <v/>
      </c>
      <c r="AC102" s="119" t="str">
        <f t="shared" si="130"/>
        <v/>
      </c>
      <c r="AD102" s="117" t="str">
        <f t="shared" ref="AD102:AD104" si="134">IFERROR(IF(AND(S101="Impacto",S102="Impacto"),(AD101-(+AD101*V102)),IF(AND(S101="Probabilidad",S102="Impacto"),(AD100-(+AD100*V102)),IF(S102="Probabilidad",AD101,""))),"")</f>
        <v/>
      </c>
      <c r="AE102" s="120" t="str">
        <f>IFERROR(IF(OR(AND(AA102="Muy Baja",AC102="Leve"),AND(AA102="Muy Baja",AC102="Menor"),AND(AA102="Baja",AC102="Leve")),"Bajo",IF(OR(AND(AA102="Muy baja",AC102="Moderado"),AND(AA102="Baja",AC102="Menor"),AND(AA102="Baja",AC102="Moderado"),AND(AA102="Media",AC102="Leve"),AND(AA102="Media",AC102="Menor"),AND(AA102="Media",AC102="Moderado"),AND(AA102="Alta",AC102="Leve"),AND(AA102="Alta",AC102="Menor")),"Moderado",IF(OR(AND(AA102="Muy Baja",AC102="Mayor"),AND(AA102="Baja",AC102="Mayor"),AND(AA102="Media",AC102="Mayor"),AND(AA102="Alta",AC102="Moderado"),AND(AA102="Alta",AC102="Mayor"),AND(AA102="Muy Alta",AC102="Leve"),AND(AA102="Muy Alta",AC102="Menor"),AND(AA102="Muy Alta",AC102="Moderado"),AND(AA102="Muy Alta",AC102="Mayor")),"Alto",IF(OR(AND(AA102="Muy Baja",AC102="Catastrófico"),AND(AA102="Baja",AC102="Catastrófico"),AND(AA102="Media",AC102="Catastrófico"),AND(AA102="Alta",AC102="Catastrófico"),AND(AA102="Muy Alta",AC102="Catastrófico")),"Extremo","")))),"")</f>
        <v/>
      </c>
      <c r="AF102" s="116"/>
      <c r="AG102" s="121"/>
      <c r="AH102" s="122"/>
      <c r="AI102" s="123"/>
      <c r="AJ102" s="123"/>
      <c r="AK102" s="121"/>
      <c r="AL102" s="122"/>
    </row>
    <row r="103" spans="1:38" x14ac:dyDescent="0.3">
      <c r="A103" s="212"/>
      <c r="B103" s="139"/>
      <c r="C103" s="139"/>
      <c r="D103" s="213"/>
      <c r="E103" s="208"/>
      <c r="F103" s="141"/>
      <c r="G103" s="213"/>
      <c r="H103" s="140"/>
      <c r="I103" s="214"/>
      <c r="J103" s="204"/>
      <c r="K103" s="205"/>
      <c r="L103" s="207"/>
      <c r="M103" s="205">
        <f t="shared" ca="1" si="126"/>
        <v>0</v>
      </c>
      <c r="N103" s="204"/>
      <c r="O103" s="205"/>
      <c r="P103" s="206"/>
      <c r="Q103" s="113">
        <v>5</v>
      </c>
      <c r="R103" s="114"/>
      <c r="S103" s="115" t="str">
        <f t="shared" si="132"/>
        <v/>
      </c>
      <c r="T103" s="116"/>
      <c r="U103" s="116"/>
      <c r="V103" s="117" t="str">
        <f t="shared" si="127"/>
        <v/>
      </c>
      <c r="W103" s="116"/>
      <c r="X103" s="116"/>
      <c r="Y103" s="116"/>
      <c r="Z103" s="118" t="str">
        <f t="shared" si="133"/>
        <v/>
      </c>
      <c r="AA103" s="119" t="str">
        <f t="shared" si="128"/>
        <v/>
      </c>
      <c r="AB103" s="117" t="str">
        <f t="shared" si="129"/>
        <v/>
      </c>
      <c r="AC103" s="119" t="str">
        <f t="shared" si="130"/>
        <v/>
      </c>
      <c r="AD103" s="117" t="str">
        <f t="shared" si="134"/>
        <v/>
      </c>
      <c r="AE103" s="120" t="str">
        <f t="shared" ref="AE103" si="135">IFERROR(IF(OR(AND(AA103="Muy Baja",AC103="Leve"),AND(AA103="Muy Baja",AC103="Menor"),AND(AA103="Baja",AC103="Leve")),"Bajo",IF(OR(AND(AA103="Muy baja",AC103="Moderado"),AND(AA103="Baja",AC103="Menor"),AND(AA103="Baja",AC103="Moderado"),AND(AA103="Media",AC103="Leve"),AND(AA103="Media",AC103="Menor"),AND(AA103="Media",AC103="Moderado"),AND(AA103="Alta",AC103="Leve"),AND(AA103="Alta",AC103="Menor")),"Moderado",IF(OR(AND(AA103="Muy Baja",AC103="Mayor"),AND(AA103="Baja",AC103="Mayor"),AND(AA103="Media",AC103="Mayor"),AND(AA103="Alta",AC103="Moderado"),AND(AA103="Alta",AC103="Mayor"),AND(AA103="Muy Alta",AC103="Leve"),AND(AA103="Muy Alta",AC103="Menor"),AND(AA103="Muy Alta",AC103="Moderado"),AND(AA103="Muy Alta",AC103="Mayor")),"Alto",IF(OR(AND(AA103="Muy Baja",AC103="Catastrófico"),AND(AA103="Baja",AC103="Catastrófico"),AND(AA103="Media",AC103="Catastrófico"),AND(AA103="Alta",AC103="Catastrófico"),AND(AA103="Muy Alta",AC103="Catastrófico")),"Extremo","")))),"")</f>
        <v/>
      </c>
      <c r="AF103" s="116"/>
      <c r="AG103" s="121"/>
      <c r="AH103" s="122"/>
      <c r="AI103" s="123"/>
      <c r="AJ103" s="123"/>
      <c r="AK103" s="121"/>
      <c r="AL103" s="122"/>
    </row>
    <row r="104" spans="1:38" x14ac:dyDescent="0.3">
      <c r="A104" s="212"/>
      <c r="B104" s="139"/>
      <c r="C104" s="139"/>
      <c r="D104" s="213"/>
      <c r="E104" s="208"/>
      <c r="F104" s="141"/>
      <c r="G104" s="213"/>
      <c r="H104" s="140"/>
      <c r="I104" s="214"/>
      <c r="J104" s="204"/>
      <c r="K104" s="205"/>
      <c r="L104" s="207"/>
      <c r="M104" s="205">
        <f t="shared" ca="1" si="126"/>
        <v>0</v>
      </c>
      <c r="N104" s="204"/>
      <c r="O104" s="205"/>
      <c r="P104" s="206"/>
      <c r="Q104" s="113">
        <v>6</v>
      </c>
      <c r="R104" s="114"/>
      <c r="S104" s="115" t="str">
        <f t="shared" si="132"/>
        <v/>
      </c>
      <c r="T104" s="116"/>
      <c r="U104" s="116"/>
      <c r="V104" s="117" t="str">
        <f t="shared" si="127"/>
        <v/>
      </c>
      <c r="W104" s="116"/>
      <c r="X104" s="116"/>
      <c r="Y104" s="116"/>
      <c r="Z104" s="118" t="str">
        <f t="shared" si="133"/>
        <v/>
      </c>
      <c r="AA104" s="119" t="str">
        <f t="shared" si="128"/>
        <v/>
      </c>
      <c r="AB104" s="117" t="str">
        <f t="shared" si="129"/>
        <v/>
      </c>
      <c r="AC104" s="119" t="str">
        <f>IFERROR(IF(AD104="","",IF(AD104&lt;=0.2,"Leve",IF(AD104&lt;=0.4,"Menor",IF(AD104&lt;=0.6,"Moderado",IF(AD104&lt;=0.8,"Mayor","Catastrófico"))))),"")</f>
        <v/>
      </c>
      <c r="AD104" s="117" t="str">
        <f t="shared" si="134"/>
        <v/>
      </c>
      <c r="AE104" s="120" t="str">
        <f>IFERROR(IF(OR(AND(AA104="Muy Baja",AC104="Leve"),AND(AA104="Muy Baja",AC104="Menor"),AND(AA104="Baja",AC104="Leve")),"Bajo",IF(OR(AND(AA104="Muy baja",AC104="Moderado"),AND(AA104="Baja",AC104="Menor"),AND(AA104="Baja",AC104="Moderado"),AND(AA104="Media",AC104="Leve"),AND(AA104="Media",AC104="Menor"),AND(AA104="Media",AC104="Moderado"),AND(AA104="Alta",AC104="Leve"),AND(AA104="Alta",AC104="Menor")),"Moderado",IF(OR(AND(AA104="Muy Baja",AC104="Mayor"),AND(AA104="Baja",AC104="Mayor"),AND(AA104="Media",AC104="Mayor"),AND(AA104="Alta",AC104="Moderado"),AND(AA104="Alta",AC104="Mayor"),AND(AA104="Muy Alta",AC104="Leve"),AND(AA104="Muy Alta",AC104="Menor"),AND(AA104="Muy Alta",AC104="Moderado"),AND(AA104="Muy Alta",AC104="Mayor")),"Alto",IF(OR(AND(AA104="Muy Baja",AC104="Catastrófico"),AND(AA104="Baja",AC104="Catastrófico"),AND(AA104="Media",AC104="Catastrófico"),AND(AA104="Alta",AC104="Catastrófico"),AND(AA104="Muy Alta",AC104="Catastrófico")),"Extremo","")))),"")</f>
        <v/>
      </c>
      <c r="AF104" s="116"/>
      <c r="AG104" s="121"/>
      <c r="AH104" s="122"/>
      <c r="AI104" s="123"/>
      <c r="AJ104" s="123"/>
      <c r="AK104" s="121"/>
      <c r="AL104" s="122"/>
    </row>
    <row r="105" spans="1:38" x14ac:dyDescent="0.3">
      <c r="A105" s="212">
        <v>7</v>
      </c>
      <c r="B105" s="139"/>
      <c r="C105" s="139"/>
      <c r="D105" s="213"/>
      <c r="E105" s="208"/>
      <c r="F105" s="141"/>
      <c r="G105" s="213"/>
      <c r="H105" s="140"/>
      <c r="I105" s="214"/>
      <c r="J105" s="204" t="str">
        <f>IF(I105&lt;=0,"",IF(I105&lt;=2,"Muy Baja",IF(I105&lt;=24,"Baja",IF(I105&lt;=500,"Media",IF(I105&lt;=5000,"Alta","Muy Alta")))))</f>
        <v/>
      </c>
      <c r="K105" s="205" t="str">
        <f>IF(J105="","",IF(J105="Muy Baja",0.2,IF(J105="Baja",0.4,IF(J105="Media",0.6,IF(J105="Alta",0.8,IF(J105="Muy Alta",1,))))))</f>
        <v/>
      </c>
      <c r="L105" s="207"/>
      <c r="M105" s="205">
        <f ca="1">IF(NOT(ISERROR(MATCH(L105,'Tabla Impacto'!$B$221:$B$223,0))),'Tabla Impacto'!$F$223&amp;"Por favor no seleccionar los criterios de impacto(Afectación Económica o presupuestal y Pérdida Reputacional)",L105)</f>
        <v>0</v>
      </c>
      <c r="N105" s="204" t="str">
        <f ca="1">IF(OR(M105='Tabla Impacto'!$C$11,M105='Tabla Impacto'!$D$11),"Leve",IF(OR(M105='Tabla Impacto'!$C$12,M105='Tabla Impacto'!$D$12),"Menor",IF(OR(M105='Tabla Impacto'!$C$13,M105='Tabla Impacto'!$D$13),"Moderado",IF(OR(M105='Tabla Impacto'!$C$14,M105='Tabla Impacto'!$D$14),"Mayor",IF(OR(M105='Tabla Impacto'!$C$15,M105='Tabla Impacto'!$D$15),"Catastrófico","")))))</f>
        <v/>
      </c>
      <c r="O105" s="205" t="str">
        <f ca="1">IF(N105="","",IF(N105="Leve",0.2,IF(N105="Menor",0.4,IF(N105="Moderado",0.6,IF(N105="Mayor",0.8,IF(N105="Catastrófico",1,))))))</f>
        <v/>
      </c>
      <c r="P105" s="206" t="str">
        <f ca="1">IF(OR(AND(J105="Muy Baja",N105="Leve"),AND(J105="Muy Baja",N105="Menor"),AND(J105="Baja",N105="Leve")),"Bajo",IF(OR(AND(J105="Muy baja",N105="Moderado"),AND(J105="Baja",N105="Menor"),AND(J105="Baja",N105="Moderado"),AND(J105="Media",N105="Leve"),AND(J105="Media",N105="Menor"),AND(J105="Media",N105="Moderado"),AND(J105="Alta",N105="Leve"),AND(J105="Alta",N105="Menor")),"Moderado",IF(OR(AND(J105="Muy Baja",N105="Mayor"),AND(J105="Baja",N105="Mayor"),AND(J105="Media",N105="Mayor"),AND(J105="Alta",N105="Moderado"),AND(J105="Alta",N105="Mayor"),AND(J105="Muy Alta",N105="Leve"),AND(J105="Muy Alta",N105="Menor"),AND(J105="Muy Alta",N105="Moderado"),AND(J105="Muy Alta",N105="Mayor")),"Alto",IF(OR(AND(J105="Muy Baja",N105="Catastrófico"),AND(J105="Baja",N105="Catastrófico"),AND(J105="Media",N105="Catastrófico"),AND(J105="Alta",N105="Catastrófico"),AND(J105="Muy Alta",N105="Catastrófico")),"Extremo",""))))</f>
        <v/>
      </c>
      <c r="Q105" s="113">
        <v>1</v>
      </c>
      <c r="R105" s="114"/>
      <c r="S105" s="115" t="str">
        <f>IF(OR(T105="Preventivo",T105="Detectivo"),"Probabilidad",IF(T105="Correctivo","Impacto",""))</f>
        <v/>
      </c>
      <c r="T105" s="116"/>
      <c r="U105" s="116"/>
      <c r="V105" s="117" t="str">
        <f>IF(AND(T105="Preventivo",U105="Automático"),"50%",IF(AND(T105="Preventivo",U105="Manual"),"40%",IF(AND(T105="Detectivo",U105="Automático"),"40%",IF(AND(T105="Detectivo",U105="Manual"),"30%",IF(AND(T105="Correctivo",U105="Automático"),"35%",IF(AND(T105="Correctivo",U105="Manual"),"25%",""))))))</f>
        <v/>
      </c>
      <c r="W105" s="116"/>
      <c r="X105" s="116"/>
      <c r="Y105" s="116"/>
      <c r="Z105" s="118" t="str">
        <f>IFERROR(IF(S105="Probabilidad",(K105-(+K105*V105)),IF(S105="Impacto",K105,"")),"")</f>
        <v/>
      </c>
      <c r="AA105" s="119" t="str">
        <f>IFERROR(IF(Z105="","",IF(Z105&lt;=0.2,"Muy Baja",IF(Z105&lt;=0.4,"Baja",IF(Z105&lt;=0.6,"Media",IF(Z105&lt;=0.8,"Alta","Muy Alta"))))),"")</f>
        <v/>
      </c>
      <c r="AB105" s="117" t="str">
        <f>+Z105</f>
        <v/>
      </c>
      <c r="AC105" s="119" t="str">
        <f>IFERROR(IF(AD105="","",IF(AD105&lt;=0.2,"Leve",IF(AD105&lt;=0.4,"Menor",IF(AD105&lt;=0.6,"Moderado",IF(AD105&lt;=0.8,"Mayor","Catastrófico"))))),"")</f>
        <v/>
      </c>
      <c r="AD105" s="117" t="str">
        <f>IFERROR(IF(S105="Impacto",(O105-(+O105*V105)),IF(S105="Probabilidad",O105,"")),"")</f>
        <v/>
      </c>
      <c r="AE105" s="120" t="str">
        <f>IFERROR(IF(OR(AND(AA105="Muy Baja",AC105="Leve"),AND(AA105="Muy Baja",AC105="Menor"),AND(AA105="Baja",AC105="Leve")),"Bajo",IF(OR(AND(AA105="Muy baja",AC105="Moderado"),AND(AA105="Baja",AC105="Menor"),AND(AA105="Baja",AC105="Moderado"),AND(AA105="Media",AC105="Leve"),AND(AA105="Media",AC105="Menor"),AND(AA105="Media",AC105="Moderado"),AND(AA105="Alta",AC105="Leve"),AND(AA105="Alta",AC105="Menor")),"Moderado",IF(OR(AND(AA105="Muy Baja",AC105="Mayor"),AND(AA105="Baja",AC105="Mayor"),AND(AA105="Media",AC105="Mayor"),AND(AA105="Alta",AC105="Moderado"),AND(AA105="Alta",AC105="Mayor"),AND(AA105="Muy Alta",AC105="Leve"),AND(AA105="Muy Alta",AC105="Menor"),AND(AA105="Muy Alta",AC105="Moderado"),AND(AA105="Muy Alta",AC105="Mayor")),"Alto",IF(OR(AND(AA105="Muy Baja",AC105="Catastrófico"),AND(AA105="Baja",AC105="Catastrófico"),AND(AA105="Media",AC105="Catastrófico"),AND(AA105="Alta",AC105="Catastrófico"),AND(AA105="Muy Alta",AC105="Catastrófico")),"Extremo","")))),"")</f>
        <v/>
      </c>
      <c r="AF105" s="116"/>
      <c r="AG105" s="121"/>
      <c r="AH105" s="122"/>
      <c r="AI105" s="123"/>
      <c r="AJ105" s="123"/>
      <c r="AK105" s="121"/>
      <c r="AL105" s="122"/>
    </row>
    <row r="106" spans="1:38" x14ac:dyDescent="0.3">
      <c r="A106" s="212"/>
      <c r="B106" s="139"/>
      <c r="C106" s="139"/>
      <c r="D106" s="213"/>
      <c r="E106" s="208"/>
      <c r="F106" s="141"/>
      <c r="G106" s="213"/>
      <c r="H106" s="140"/>
      <c r="I106" s="214"/>
      <c r="J106" s="204"/>
      <c r="K106" s="205"/>
      <c r="L106" s="207"/>
      <c r="M106" s="205">
        <f t="shared" ref="M106:M110" ca="1" si="136">IF(NOT(ISERROR(MATCH(L106,_xlfn.ANCHORARRAY(E117),0))),K119&amp;"Por favor no seleccionar los criterios de impacto",L106)</f>
        <v>0</v>
      </c>
      <c r="N106" s="204"/>
      <c r="O106" s="205"/>
      <c r="P106" s="206"/>
      <c r="Q106" s="113">
        <v>2</v>
      </c>
      <c r="R106" s="114"/>
      <c r="S106" s="115" t="str">
        <f>IF(OR(T106="Preventivo",T106="Detectivo"),"Probabilidad",IF(T106="Correctivo","Impacto",""))</f>
        <v/>
      </c>
      <c r="T106" s="116"/>
      <c r="U106" s="116"/>
      <c r="V106" s="117" t="str">
        <f t="shared" ref="V106:V110" si="137">IF(AND(T106="Preventivo",U106="Automático"),"50%",IF(AND(T106="Preventivo",U106="Manual"),"40%",IF(AND(T106="Detectivo",U106="Automático"),"40%",IF(AND(T106="Detectivo",U106="Manual"),"30%",IF(AND(T106="Correctivo",U106="Automático"),"35%",IF(AND(T106="Correctivo",U106="Manual"),"25%",""))))))</f>
        <v/>
      </c>
      <c r="W106" s="116"/>
      <c r="X106" s="116"/>
      <c r="Y106" s="116"/>
      <c r="Z106" s="118" t="str">
        <f>IFERROR(IF(AND(S105="Probabilidad",S106="Probabilidad"),(AB105-(+AB105*V106)),IF(S106="Probabilidad",(K105-(+K105*V106)),IF(S106="Impacto",AB105,""))),"")</f>
        <v/>
      </c>
      <c r="AA106" s="119" t="str">
        <f t="shared" ref="AA106:AA110" si="138">IFERROR(IF(Z106="","",IF(Z106&lt;=0.2,"Muy Baja",IF(Z106&lt;=0.4,"Baja",IF(Z106&lt;=0.6,"Media",IF(Z106&lt;=0.8,"Alta","Muy Alta"))))),"")</f>
        <v/>
      </c>
      <c r="AB106" s="117" t="str">
        <f t="shared" ref="AB106:AB110" si="139">+Z106</f>
        <v/>
      </c>
      <c r="AC106" s="119" t="str">
        <f t="shared" ref="AC106:AC110" si="140">IFERROR(IF(AD106="","",IF(AD106&lt;=0.2,"Leve",IF(AD106&lt;=0.4,"Menor",IF(AD106&lt;=0.6,"Moderado",IF(AD106&lt;=0.8,"Mayor","Catastrófico"))))),"")</f>
        <v/>
      </c>
      <c r="AD106" s="117" t="str">
        <f>IFERROR(IF(AND(S105="Impacto",S106="Impacto"),(AD99-(+AD99*V106)),IF(S106="Impacto",($O$45-(+$O$45*V106)),IF(S106="Probabilidad",AD99,""))),"")</f>
        <v/>
      </c>
      <c r="AE106" s="120" t="str">
        <f t="shared" ref="AE106:AE107" si="141">IFERROR(IF(OR(AND(AA106="Muy Baja",AC106="Leve"),AND(AA106="Muy Baja",AC106="Menor"),AND(AA106="Baja",AC106="Leve")),"Bajo",IF(OR(AND(AA106="Muy baja",AC106="Moderado"),AND(AA106="Baja",AC106="Menor"),AND(AA106="Baja",AC106="Moderado"),AND(AA106="Media",AC106="Leve"),AND(AA106="Media",AC106="Menor"),AND(AA106="Media",AC106="Moderado"),AND(AA106="Alta",AC106="Leve"),AND(AA106="Alta",AC106="Menor")),"Moderado",IF(OR(AND(AA106="Muy Baja",AC106="Mayor"),AND(AA106="Baja",AC106="Mayor"),AND(AA106="Media",AC106="Mayor"),AND(AA106="Alta",AC106="Moderado"),AND(AA106="Alta",AC106="Mayor"),AND(AA106="Muy Alta",AC106="Leve"),AND(AA106="Muy Alta",AC106="Menor"),AND(AA106="Muy Alta",AC106="Moderado"),AND(AA106="Muy Alta",AC106="Mayor")),"Alto",IF(OR(AND(AA106="Muy Baja",AC106="Catastrófico"),AND(AA106="Baja",AC106="Catastrófico"),AND(AA106="Media",AC106="Catastrófico"),AND(AA106="Alta",AC106="Catastrófico"),AND(AA106="Muy Alta",AC106="Catastrófico")),"Extremo","")))),"")</f>
        <v/>
      </c>
      <c r="AF106" s="116"/>
      <c r="AG106" s="121"/>
      <c r="AH106" s="122"/>
      <c r="AI106" s="123"/>
      <c r="AJ106" s="123"/>
      <c r="AK106" s="121"/>
      <c r="AL106" s="122"/>
    </row>
    <row r="107" spans="1:38" x14ac:dyDescent="0.3">
      <c r="A107" s="212"/>
      <c r="B107" s="139"/>
      <c r="C107" s="139"/>
      <c r="D107" s="213"/>
      <c r="E107" s="208"/>
      <c r="F107" s="141"/>
      <c r="G107" s="213"/>
      <c r="H107" s="140"/>
      <c r="I107" s="214"/>
      <c r="J107" s="204"/>
      <c r="K107" s="205"/>
      <c r="L107" s="207"/>
      <c r="M107" s="205">
        <f t="shared" ca="1" si="136"/>
        <v>0</v>
      </c>
      <c r="N107" s="204"/>
      <c r="O107" s="205"/>
      <c r="P107" s="206"/>
      <c r="Q107" s="113">
        <v>3</v>
      </c>
      <c r="R107" s="126"/>
      <c r="S107" s="115" t="str">
        <f>IF(OR(T107="Preventivo",T107="Detectivo"),"Probabilidad",IF(T107="Correctivo","Impacto",""))</f>
        <v/>
      </c>
      <c r="T107" s="116"/>
      <c r="U107" s="116"/>
      <c r="V107" s="117" t="str">
        <f t="shared" si="137"/>
        <v/>
      </c>
      <c r="W107" s="116"/>
      <c r="X107" s="116"/>
      <c r="Y107" s="116"/>
      <c r="Z107" s="118" t="str">
        <f>IFERROR(IF(AND(S106="Probabilidad",S107="Probabilidad"),(AB106-(+AB106*V107)),IF(AND(S106="Impacto",S107="Probabilidad"),(AB105-(+AB105*V107)),IF(S107="Impacto",AB106,""))),"")</f>
        <v/>
      </c>
      <c r="AA107" s="119" t="str">
        <f t="shared" si="138"/>
        <v/>
      </c>
      <c r="AB107" s="117" t="str">
        <f t="shared" si="139"/>
        <v/>
      </c>
      <c r="AC107" s="119" t="str">
        <f t="shared" si="140"/>
        <v/>
      </c>
      <c r="AD107" s="117" t="str">
        <f>IFERROR(IF(AND(S106="Impacto",S107="Impacto"),(AD106-(+AD106*V107)),IF(AND(S106="Probabilidad",S107="Impacto"),(AD105-(+AD105*V107)),IF(S107="Probabilidad",AD106,""))),"")</f>
        <v/>
      </c>
      <c r="AE107" s="120" t="str">
        <f t="shared" si="141"/>
        <v/>
      </c>
      <c r="AF107" s="116"/>
      <c r="AG107" s="121"/>
      <c r="AH107" s="122"/>
      <c r="AI107" s="123"/>
      <c r="AJ107" s="123"/>
      <c r="AK107" s="121"/>
      <c r="AL107" s="122"/>
    </row>
    <row r="108" spans="1:38" x14ac:dyDescent="0.3">
      <c r="A108" s="212"/>
      <c r="B108" s="139"/>
      <c r="C108" s="139"/>
      <c r="D108" s="213"/>
      <c r="E108" s="208"/>
      <c r="F108" s="141"/>
      <c r="G108" s="213"/>
      <c r="H108" s="140"/>
      <c r="I108" s="214"/>
      <c r="J108" s="204"/>
      <c r="K108" s="205"/>
      <c r="L108" s="207"/>
      <c r="M108" s="205">
        <f t="shared" ca="1" si="136"/>
        <v>0</v>
      </c>
      <c r="N108" s="204"/>
      <c r="O108" s="205"/>
      <c r="P108" s="206"/>
      <c r="Q108" s="113">
        <v>4</v>
      </c>
      <c r="R108" s="114"/>
      <c r="S108" s="115" t="str">
        <f t="shared" ref="S108:S110" si="142">IF(OR(T108="Preventivo",T108="Detectivo"),"Probabilidad",IF(T108="Correctivo","Impacto",""))</f>
        <v/>
      </c>
      <c r="T108" s="116"/>
      <c r="U108" s="116"/>
      <c r="V108" s="117" t="str">
        <f t="shared" si="137"/>
        <v/>
      </c>
      <c r="W108" s="116"/>
      <c r="X108" s="116"/>
      <c r="Y108" s="116"/>
      <c r="Z108" s="118" t="str">
        <f t="shared" ref="Z108:Z110" si="143">IFERROR(IF(AND(S107="Probabilidad",S108="Probabilidad"),(AB107-(+AB107*V108)),IF(AND(S107="Impacto",S108="Probabilidad"),(AB106-(+AB106*V108)),IF(S108="Impacto",AB107,""))),"")</f>
        <v/>
      </c>
      <c r="AA108" s="119" t="str">
        <f t="shared" si="138"/>
        <v/>
      </c>
      <c r="AB108" s="117" t="str">
        <f t="shared" si="139"/>
        <v/>
      </c>
      <c r="AC108" s="119" t="str">
        <f t="shared" si="140"/>
        <v/>
      </c>
      <c r="AD108" s="117" t="str">
        <f t="shared" ref="AD108:AD110" si="144">IFERROR(IF(AND(S107="Impacto",S108="Impacto"),(AD107-(+AD107*V108)),IF(AND(S107="Probabilidad",S108="Impacto"),(AD106-(+AD106*V108)),IF(S108="Probabilidad",AD107,""))),"")</f>
        <v/>
      </c>
      <c r="AE108" s="120" t="str">
        <f>IFERROR(IF(OR(AND(AA108="Muy Baja",AC108="Leve"),AND(AA108="Muy Baja",AC108="Menor"),AND(AA108="Baja",AC108="Leve")),"Bajo",IF(OR(AND(AA108="Muy baja",AC108="Moderado"),AND(AA108="Baja",AC108="Menor"),AND(AA108="Baja",AC108="Moderado"),AND(AA108="Media",AC108="Leve"),AND(AA108="Media",AC108="Menor"),AND(AA108="Media",AC108="Moderado"),AND(AA108="Alta",AC108="Leve"),AND(AA108="Alta",AC108="Menor")),"Moderado",IF(OR(AND(AA108="Muy Baja",AC108="Mayor"),AND(AA108="Baja",AC108="Mayor"),AND(AA108="Media",AC108="Mayor"),AND(AA108="Alta",AC108="Moderado"),AND(AA108="Alta",AC108="Mayor"),AND(AA108="Muy Alta",AC108="Leve"),AND(AA108="Muy Alta",AC108="Menor"),AND(AA108="Muy Alta",AC108="Moderado"),AND(AA108="Muy Alta",AC108="Mayor")),"Alto",IF(OR(AND(AA108="Muy Baja",AC108="Catastrófico"),AND(AA108="Baja",AC108="Catastrófico"),AND(AA108="Media",AC108="Catastrófico"),AND(AA108="Alta",AC108="Catastrófico"),AND(AA108="Muy Alta",AC108="Catastrófico")),"Extremo","")))),"")</f>
        <v/>
      </c>
      <c r="AF108" s="116"/>
      <c r="AG108" s="121"/>
      <c r="AH108" s="122"/>
      <c r="AI108" s="123"/>
      <c r="AJ108" s="123"/>
      <c r="AK108" s="121"/>
      <c r="AL108" s="122"/>
    </row>
    <row r="109" spans="1:38" x14ac:dyDescent="0.3">
      <c r="A109" s="212"/>
      <c r="B109" s="139"/>
      <c r="C109" s="139"/>
      <c r="D109" s="213"/>
      <c r="E109" s="208"/>
      <c r="F109" s="141"/>
      <c r="G109" s="213"/>
      <c r="H109" s="140"/>
      <c r="I109" s="214"/>
      <c r="J109" s="204"/>
      <c r="K109" s="205"/>
      <c r="L109" s="207"/>
      <c r="M109" s="205">
        <f t="shared" ca="1" si="136"/>
        <v>0</v>
      </c>
      <c r="N109" s="204"/>
      <c r="O109" s="205"/>
      <c r="P109" s="206"/>
      <c r="Q109" s="113">
        <v>5</v>
      </c>
      <c r="R109" s="114"/>
      <c r="S109" s="115" t="str">
        <f t="shared" si="142"/>
        <v/>
      </c>
      <c r="T109" s="116"/>
      <c r="U109" s="116"/>
      <c r="V109" s="117" t="str">
        <f t="shared" si="137"/>
        <v/>
      </c>
      <c r="W109" s="116"/>
      <c r="X109" s="116"/>
      <c r="Y109" s="116"/>
      <c r="Z109" s="118" t="str">
        <f t="shared" si="143"/>
        <v/>
      </c>
      <c r="AA109" s="119" t="str">
        <f t="shared" si="138"/>
        <v/>
      </c>
      <c r="AB109" s="117" t="str">
        <f t="shared" si="139"/>
        <v/>
      </c>
      <c r="AC109" s="119" t="str">
        <f t="shared" si="140"/>
        <v/>
      </c>
      <c r="AD109" s="117" t="str">
        <f t="shared" si="144"/>
        <v/>
      </c>
      <c r="AE109" s="120" t="str">
        <f t="shared" ref="AE109:AE110" si="145">IFERROR(IF(OR(AND(AA109="Muy Baja",AC109="Leve"),AND(AA109="Muy Baja",AC109="Menor"),AND(AA109="Baja",AC109="Leve")),"Bajo",IF(OR(AND(AA109="Muy baja",AC109="Moderado"),AND(AA109="Baja",AC109="Menor"),AND(AA109="Baja",AC109="Moderado"),AND(AA109="Media",AC109="Leve"),AND(AA109="Media",AC109="Menor"),AND(AA109="Media",AC109="Moderado"),AND(AA109="Alta",AC109="Leve"),AND(AA109="Alta",AC109="Menor")),"Moderado",IF(OR(AND(AA109="Muy Baja",AC109="Mayor"),AND(AA109="Baja",AC109="Mayor"),AND(AA109="Media",AC109="Mayor"),AND(AA109="Alta",AC109="Moderado"),AND(AA109="Alta",AC109="Mayor"),AND(AA109="Muy Alta",AC109="Leve"),AND(AA109="Muy Alta",AC109="Menor"),AND(AA109="Muy Alta",AC109="Moderado"),AND(AA109="Muy Alta",AC109="Mayor")),"Alto",IF(OR(AND(AA109="Muy Baja",AC109="Catastrófico"),AND(AA109="Baja",AC109="Catastrófico"),AND(AA109="Media",AC109="Catastrófico"),AND(AA109="Alta",AC109="Catastrófico"),AND(AA109="Muy Alta",AC109="Catastrófico")),"Extremo","")))),"")</f>
        <v/>
      </c>
      <c r="AF109" s="116"/>
      <c r="AG109" s="121"/>
      <c r="AH109" s="122"/>
      <c r="AI109" s="123"/>
      <c r="AJ109" s="123"/>
      <c r="AK109" s="121"/>
      <c r="AL109" s="122"/>
    </row>
    <row r="110" spans="1:38" x14ac:dyDescent="0.3">
      <c r="A110" s="212"/>
      <c r="B110" s="139"/>
      <c r="C110" s="139"/>
      <c r="D110" s="213"/>
      <c r="E110" s="208"/>
      <c r="F110" s="141"/>
      <c r="G110" s="213"/>
      <c r="H110" s="140"/>
      <c r="I110" s="214"/>
      <c r="J110" s="204"/>
      <c r="K110" s="205"/>
      <c r="L110" s="207"/>
      <c r="M110" s="205">
        <f t="shared" ca="1" si="136"/>
        <v>0</v>
      </c>
      <c r="N110" s="204"/>
      <c r="O110" s="205"/>
      <c r="P110" s="206"/>
      <c r="Q110" s="113">
        <v>6</v>
      </c>
      <c r="R110" s="114"/>
      <c r="S110" s="115" t="str">
        <f t="shared" si="142"/>
        <v/>
      </c>
      <c r="T110" s="116"/>
      <c r="U110" s="116"/>
      <c r="V110" s="117" t="str">
        <f t="shared" si="137"/>
        <v/>
      </c>
      <c r="W110" s="116"/>
      <c r="X110" s="116"/>
      <c r="Y110" s="116"/>
      <c r="Z110" s="118" t="str">
        <f t="shared" si="143"/>
        <v/>
      </c>
      <c r="AA110" s="119" t="str">
        <f t="shared" si="138"/>
        <v/>
      </c>
      <c r="AB110" s="117" t="str">
        <f t="shared" si="139"/>
        <v/>
      </c>
      <c r="AC110" s="119" t="str">
        <f t="shared" si="140"/>
        <v/>
      </c>
      <c r="AD110" s="117" t="str">
        <f t="shared" si="144"/>
        <v/>
      </c>
      <c r="AE110" s="120" t="str">
        <f t="shared" si="145"/>
        <v/>
      </c>
      <c r="AF110" s="116"/>
      <c r="AG110" s="121"/>
      <c r="AH110" s="122"/>
      <c r="AI110" s="123"/>
      <c r="AJ110" s="123"/>
      <c r="AK110" s="121"/>
      <c r="AL110" s="122"/>
    </row>
    <row r="111" spans="1:38" x14ac:dyDescent="0.3">
      <c r="A111" s="212">
        <v>8</v>
      </c>
      <c r="B111" s="139"/>
      <c r="C111" s="139"/>
      <c r="D111" s="213"/>
      <c r="E111" s="208"/>
      <c r="F111" s="141"/>
      <c r="G111" s="213"/>
      <c r="H111" s="140"/>
      <c r="I111" s="214"/>
      <c r="J111" s="204" t="str">
        <f>IF(I111&lt;=0,"",IF(I111&lt;=2,"Muy Baja",IF(I111&lt;=24,"Baja",IF(I111&lt;=500,"Media",IF(I111&lt;=5000,"Alta","Muy Alta")))))</f>
        <v/>
      </c>
      <c r="K111" s="205" t="str">
        <f>IF(J111="","",IF(J111="Muy Baja",0.2,IF(J111="Baja",0.4,IF(J111="Media",0.6,IF(J111="Alta",0.8,IF(J111="Muy Alta",1,))))))</f>
        <v/>
      </c>
      <c r="L111" s="207"/>
      <c r="M111" s="205">
        <f ca="1">IF(NOT(ISERROR(MATCH(L111,'Tabla Impacto'!$B$221:$B$223,0))),'Tabla Impacto'!$F$223&amp;"Por favor no seleccionar los criterios de impacto(Afectación Económica o presupuestal y Pérdida Reputacional)",L111)</f>
        <v>0</v>
      </c>
      <c r="N111" s="204" t="str">
        <f ca="1">IF(OR(M111='Tabla Impacto'!$C$11,M111='Tabla Impacto'!$D$11),"Leve",IF(OR(M111='Tabla Impacto'!$C$12,M111='Tabla Impacto'!$D$12),"Menor",IF(OR(M111='Tabla Impacto'!$C$13,M111='Tabla Impacto'!$D$13),"Moderado",IF(OR(M111='Tabla Impacto'!$C$14,M111='Tabla Impacto'!$D$14),"Mayor",IF(OR(M111='Tabla Impacto'!$C$15,M111='Tabla Impacto'!$D$15),"Catastrófico","")))))</f>
        <v/>
      </c>
      <c r="O111" s="205" t="str">
        <f ca="1">IF(N111="","",IF(N111="Leve",0.2,IF(N111="Menor",0.4,IF(N111="Moderado",0.6,IF(N111="Mayor",0.8,IF(N111="Catastrófico",1,))))))</f>
        <v/>
      </c>
      <c r="P111" s="206" t="str">
        <f ca="1">IF(OR(AND(J111="Muy Baja",N111="Leve"),AND(J111="Muy Baja",N111="Menor"),AND(J111="Baja",N111="Leve")),"Bajo",IF(OR(AND(J111="Muy baja",N111="Moderado"),AND(J111="Baja",N111="Menor"),AND(J111="Baja",N111="Moderado"),AND(J111="Media",N111="Leve"),AND(J111="Media",N111="Menor"),AND(J111="Media",N111="Moderado"),AND(J111="Alta",N111="Leve"),AND(J111="Alta",N111="Menor")),"Moderado",IF(OR(AND(J111="Muy Baja",N111="Mayor"),AND(J111="Baja",N111="Mayor"),AND(J111="Media",N111="Mayor"),AND(J111="Alta",N111="Moderado"),AND(J111="Alta",N111="Mayor"),AND(J111="Muy Alta",N111="Leve"),AND(J111="Muy Alta",N111="Menor"),AND(J111="Muy Alta",N111="Moderado"),AND(J111="Muy Alta",N111="Mayor")),"Alto",IF(OR(AND(J111="Muy Baja",N111="Catastrófico"),AND(J111="Baja",N111="Catastrófico"),AND(J111="Media",N111="Catastrófico"),AND(J111="Alta",N111="Catastrófico"),AND(J111="Muy Alta",N111="Catastrófico")),"Extremo",""))))</f>
        <v/>
      </c>
      <c r="Q111" s="113">
        <v>1</v>
      </c>
      <c r="R111" s="114"/>
      <c r="S111" s="115" t="str">
        <f>IF(OR(T111="Preventivo",T111="Detectivo"),"Probabilidad",IF(T111="Correctivo","Impacto",""))</f>
        <v/>
      </c>
      <c r="T111" s="116"/>
      <c r="U111" s="116"/>
      <c r="V111" s="117" t="str">
        <f>IF(AND(T111="Preventivo",U111="Automático"),"50%",IF(AND(T111="Preventivo",U111="Manual"),"40%",IF(AND(T111="Detectivo",U111="Automático"),"40%",IF(AND(T111="Detectivo",U111="Manual"),"30%",IF(AND(T111="Correctivo",U111="Automático"),"35%",IF(AND(T111="Correctivo",U111="Manual"),"25%",""))))))</f>
        <v/>
      </c>
      <c r="W111" s="116"/>
      <c r="X111" s="116"/>
      <c r="Y111" s="116"/>
      <c r="Z111" s="118" t="str">
        <f>IFERROR(IF(S111="Probabilidad",(K111-(+K111*V111)),IF(S111="Impacto",K111,"")),"")</f>
        <v/>
      </c>
      <c r="AA111" s="119" t="str">
        <f>IFERROR(IF(Z111="","",IF(Z111&lt;=0.2,"Muy Baja",IF(Z111&lt;=0.4,"Baja",IF(Z111&lt;=0.6,"Media",IF(Z111&lt;=0.8,"Alta","Muy Alta"))))),"")</f>
        <v/>
      </c>
      <c r="AB111" s="117" t="str">
        <f>+Z111</f>
        <v/>
      </c>
      <c r="AC111" s="119" t="str">
        <f>IFERROR(IF(AD111="","",IF(AD111&lt;=0.2,"Leve",IF(AD111&lt;=0.4,"Menor",IF(AD111&lt;=0.6,"Moderado",IF(AD111&lt;=0.8,"Mayor","Catastrófico"))))),"")</f>
        <v/>
      </c>
      <c r="AD111" s="117" t="str">
        <f>IFERROR(IF(S111="Impacto",(O111-(+O111*V111)),IF(S111="Probabilidad",O111,"")),"")</f>
        <v/>
      </c>
      <c r="AE111" s="120" t="str">
        <f>IFERROR(IF(OR(AND(AA111="Muy Baja",AC111="Leve"),AND(AA111="Muy Baja",AC111="Menor"),AND(AA111="Baja",AC111="Leve")),"Bajo",IF(OR(AND(AA111="Muy baja",AC111="Moderado"),AND(AA111="Baja",AC111="Menor"),AND(AA111="Baja",AC111="Moderado"),AND(AA111="Media",AC111="Leve"),AND(AA111="Media",AC111="Menor"),AND(AA111="Media",AC111="Moderado"),AND(AA111="Alta",AC111="Leve"),AND(AA111="Alta",AC111="Menor")),"Moderado",IF(OR(AND(AA111="Muy Baja",AC111="Mayor"),AND(AA111="Baja",AC111="Mayor"),AND(AA111="Media",AC111="Mayor"),AND(AA111="Alta",AC111="Moderado"),AND(AA111="Alta",AC111="Mayor"),AND(AA111="Muy Alta",AC111="Leve"),AND(AA111="Muy Alta",AC111="Menor"),AND(AA111="Muy Alta",AC111="Moderado"),AND(AA111="Muy Alta",AC111="Mayor")),"Alto",IF(OR(AND(AA111="Muy Baja",AC111="Catastrófico"),AND(AA111="Baja",AC111="Catastrófico"),AND(AA111="Media",AC111="Catastrófico"),AND(AA111="Alta",AC111="Catastrófico"),AND(AA111="Muy Alta",AC111="Catastrófico")),"Extremo","")))),"")</f>
        <v/>
      </c>
      <c r="AF111" s="116"/>
      <c r="AG111" s="121"/>
      <c r="AH111" s="122"/>
      <c r="AI111" s="123"/>
      <c r="AJ111" s="123"/>
      <c r="AK111" s="121"/>
      <c r="AL111" s="122"/>
    </row>
    <row r="112" spans="1:38" x14ac:dyDescent="0.3">
      <c r="A112" s="212"/>
      <c r="B112" s="139"/>
      <c r="C112" s="139"/>
      <c r="D112" s="213"/>
      <c r="E112" s="208"/>
      <c r="F112" s="141"/>
      <c r="G112" s="213"/>
      <c r="H112" s="140"/>
      <c r="I112" s="214"/>
      <c r="J112" s="204"/>
      <c r="K112" s="205"/>
      <c r="L112" s="207"/>
      <c r="M112" s="205">
        <f ca="1">IF(NOT(ISERROR(MATCH(L112,_xlfn.ANCHORARRAY(E123),0))),K125&amp;"Por favor no seleccionar los criterios de impacto",L112)</f>
        <v>0</v>
      </c>
      <c r="N112" s="204"/>
      <c r="O112" s="205"/>
      <c r="P112" s="206"/>
      <c r="Q112" s="113">
        <v>2</v>
      </c>
      <c r="R112" s="114"/>
      <c r="S112" s="115" t="str">
        <f>IF(OR(T112="Preventivo",T112="Detectivo"),"Probabilidad",IF(T112="Correctivo","Impacto",""))</f>
        <v/>
      </c>
      <c r="T112" s="116"/>
      <c r="U112" s="116"/>
      <c r="V112" s="117" t="str">
        <f t="shared" ref="V112:V116" si="146">IF(AND(T112="Preventivo",U112="Automático"),"50%",IF(AND(T112="Preventivo",U112="Manual"),"40%",IF(AND(T112="Detectivo",U112="Automático"),"40%",IF(AND(T112="Detectivo",U112="Manual"),"30%",IF(AND(T112="Correctivo",U112="Automático"),"35%",IF(AND(T112="Correctivo",U112="Manual"),"25%",""))))))</f>
        <v/>
      </c>
      <c r="W112" s="116"/>
      <c r="X112" s="116"/>
      <c r="Y112" s="116"/>
      <c r="Z112" s="118" t="str">
        <f>IFERROR(IF(AND(S111="Probabilidad",S112="Probabilidad"),(AB111-(+AB111*V112)),IF(S112="Probabilidad",(K111-(+K111*V112)),IF(S112="Impacto",AB111,""))),"")</f>
        <v/>
      </c>
      <c r="AA112" s="119" t="str">
        <f t="shared" ref="AA112:AA116" si="147">IFERROR(IF(Z112="","",IF(Z112&lt;=0.2,"Muy Baja",IF(Z112&lt;=0.4,"Baja",IF(Z112&lt;=0.6,"Media",IF(Z112&lt;=0.8,"Alta","Muy Alta"))))),"")</f>
        <v/>
      </c>
      <c r="AB112" s="117" t="str">
        <f t="shared" ref="AB112:AB116" si="148">+Z112</f>
        <v/>
      </c>
      <c r="AC112" s="119" t="str">
        <f t="shared" ref="AC112:AC116" si="149">IFERROR(IF(AD112="","",IF(AD112&lt;=0.2,"Leve",IF(AD112&lt;=0.4,"Menor",IF(AD112&lt;=0.6,"Moderado",IF(AD112&lt;=0.8,"Mayor","Catastrófico"))))),"")</f>
        <v/>
      </c>
      <c r="AD112" s="117" t="str">
        <f>IFERROR(IF(AND(S111="Impacto",S112="Impacto"),(AD105-(+AD105*V112)),IF(S112="Impacto",($O$51-(+$O$51*V112)),IF(S112="Probabilidad",AD105,""))),"")</f>
        <v/>
      </c>
      <c r="AE112" s="120" t="str">
        <f t="shared" ref="AE112:AE113" si="150">IFERROR(IF(OR(AND(AA112="Muy Baja",AC112="Leve"),AND(AA112="Muy Baja",AC112="Menor"),AND(AA112="Baja",AC112="Leve")),"Bajo",IF(OR(AND(AA112="Muy baja",AC112="Moderado"),AND(AA112="Baja",AC112="Menor"),AND(AA112="Baja",AC112="Moderado"),AND(AA112="Media",AC112="Leve"),AND(AA112="Media",AC112="Menor"),AND(AA112="Media",AC112="Moderado"),AND(AA112="Alta",AC112="Leve"),AND(AA112="Alta",AC112="Menor")),"Moderado",IF(OR(AND(AA112="Muy Baja",AC112="Mayor"),AND(AA112="Baja",AC112="Mayor"),AND(AA112="Media",AC112="Mayor"),AND(AA112="Alta",AC112="Moderado"),AND(AA112="Alta",AC112="Mayor"),AND(AA112="Muy Alta",AC112="Leve"),AND(AA112="Muy Alta",AC112="Menor"),AND(AA112="Muy Alta",AC112="Moderado"),AND(AA112="Muy Alta",AC112="Mayor")),"Alto",IF(OR(AND(AA112="Muy Baja",AC112="Catastrófico"),AND(AA112="Baja",AC112="Catastrófico"),AND(AA112="Media",AC112="Catastrófico"),AND(AA112="Alta",AC112="Catastrófico"),AND(AA112="Muy Alta",AC112="Catastrófico")),"Extremo","")))),"")</f>
        <v/>
      </c>
      <c r="AF112" s="116"/>
      <c r="AG112" s="121"/>
      <c r="AH112" s="122"/>
      <c r="AI112" s="123"/>
      <c r="AJ112" s="123"/>
      <c r="AK112" s="121"/>
      <c r="AL112" s="122"/>
    </row>
    <row r="113" spans="1:38" x14ac:dyDescent="0.3">
      <c r="A113" s="212"/>
      <c r="B113" s="139"/>
      <c r="C113" s="139"/>
      <c r="D113" s="213"/>
      <c r="E113" s="208"/>
      <c r="F113" s="141"/>
      <c r="G113" s="213"/>
      <c r="H113" s="140"/>
      <c r="I113" s="214"/>
      <c r="J113" s="204"/>
      <c r="K113" s="205"/>
      <c r="L113" s="207"/>
      <c r="M113" s="205">
        <f ca="1">IF(NOT(ISERROR(MATCH(L113,_xlfn.ANCHORARRAY(E124),0))),K126&amp;"Por favor no seleccionar los criterios de impacto",L113)</f>
        <v>0</v>
      </c>
      <c r="N113" s="204"/>
      <c r="O113" s="205"/>
      <c r="P113" s="206"/>
      <c r="Q113" s="113">
        <v>3</v>
      </c>
      <c r="R113" s="126"/>
      <c r="S113" s="115" t="str">
        <f>IF(OR(T113="Preventivo",T113="Detectivo"),"Probabilidad",IF(T113="Correctivo","Impacto",""))</f>
        <v/>
      </c>
      <c r="T113" s="116"/>
      <c r="U113" s="116"/>
      <c r="V113" s="117" t="str">
        <f t="shared" si="146"/>
        <v/>
      </c>
      <c r="W113" s="116"/>
      <c r="X113" s="116"/>
      <c r="Y113" s="116"/>
      <c r="Z113" s="118" t="str">
        <f>IFERROR(IF(AND(S112="Probabilidad",S113="Probabilidad"),(AB112-(+AB112*V113)),IF(AND(S112="Impacto",S113="Probabilidad"),(AB111-(+AB111*V113)),IF(S113="Impacto",AB112,""))),"")</f>
        <v/>
      </c>
      <c r="AA113" s="119" t="str">
        <f t="shared" si="147"/>
        <v/>
      </c>
      <c r="AB113" s="117" t="str">
        <f t="shared" si="148"/>
        <v/>
      </c>
      <c r="AC113" s="119" t="str">
        <f t="shared" si="149"/>
        <v/>
      </c>
      <c r="AD113" s="117" t="str">
        <f>IFERROR(IF(AND(S112="Impacto",S113="Impacto"),(AD112-(+AD112*V113)),IF(AND(S112="Probabilidad",S113="Impacto"),(AD111-(+AD111*V113)),IF(S113="Probabilidad",AD112,""))),"")</f>
        <v/>
      </c>
      <c r="AE113" s="120" t="str">
        <f t="shared" si="150"/>
        <v/>
      </c>
      <c r="AF113" s="116"/>
      <c r="AG113" s="121"/>
      <c r="AH113" s="122"/>
      <c r="AI113" s="123"/>
      <c r="AJ113" s="123"/>
      <c r="AK113" s="121"/>
      <c r="AL113" s="122"/>
    </row>
    <row r="114" spans="1:38" x14ac:dyDescent="0.3">
      <c r="A114" s="212"/>
      <c r="B114" s="139"/>
      <c r="C114" s="139"/>
      <c r="D114" s="213"/>
      <c r="E114" s="208"/>
      <c r="F114" s="141"/>
      <c r="G114" s="213"/>
      <c r="H114" s="140"/>
      <c r="I114" s="214"/>
      <c r="J114" s="204"/>
      <c r="K114" s="205"/>
      <c r="L114" s="207"/>
      <c r="M114" s="205">
        <f ca="1">IF(NOT(ISERROR(MATCH(L114,_xlfn.ANCHORARRAY(E125),0))),K127&amp;"Por favor no seleccionar los criterios de impacto",L114)</f>
        <v>0</v>
      </c>
      <c r="N114" s="204"/>
      <c r="O114" s="205"/>
      <c r="P114" s="206"/>
      <c r="Q114" s="113">
        <v>4</v>
      </c>
      <c r="R114" s="114"/>
      <c r="S114" s="115" t="str">
        <f t="shared" ref="S114:S116" si="151">IF(OR(T114="Preventivo",T114="Detectivo"),"Probabilidad",IF(T114="Correctivo","Impacto",""))</f>
        <v/>
      </c>
      <c r="T114" s="116"/>
      <c r="U114" s="116"/>
      <c r="V114" s="117" t="str">
        <f t="shared" si="146"/>
        <v/>
      </c>
      <c r="W114" s="116"/>
      <c r="X114" s="116"/>
      <c r="Y114" s="116"/>
      <c r="Z114" s="118" t="str">
        <f t="shared" ref="Z114:Z116" si="152">IFERROR(IF(AND(S113="Probabilidad",S114="Probabilidad"),(AB113-(+AB113*V114)),IF(AND(S113="Impacto",S114="Probabilidad"),(AB112-(+AB112*V114)),IF(S114="Impacto",AB113,""))),"")</f>
        <v/>
      </c>
      <c r="AA114" s="119" t="str">
        <f t="shared" si="147"/>
        <v/>
      </c>
      <c r="AB114" s="117" t="str">
        <f t="shared" si="148"/>
        <v/>
      </c>
      <c r="AC114" s="119" t="str">
        <f t="shared" si="149"/>
        <v/>
      </c>
      <c r="AD114" s="117" t="str">
        <f t="shared" ref="AD114:AD116" si="153">IFERROR(IF(AND(S113="Impacto",S114="Impacto"),(AD113-(+AD113*V114)),IF(AND(S113="Probabilidad",S114="Impacto"),(AD112-(+AD112*V114)),IF(S114="Probabilidad",AD113,""))),"")</f>
        <v/>
      </c>
      <c r="AE114" s="120" t="str">
        <f>IFERROR(IF(OR(AND(AA114="Muy Baja",AC114="Leve"),AND(AA114="Muy Baja",AC114="Menor"),AND(AA114="Baja",AC114="Leve")),"Bajo",IF(OR(AND(AA114="Muy baja",AC114="Moderado"),AND(AA114="Baja",AC114="Menor"),AND(AA114="Baja",AC114="Moderado"),AND(AA114="Media",AC114="Leve"),AND(AA114="Media",AC114="Menor"),AND(AA114="Media",AC114="Moderado"),AND(AA114="Alta",AC114="Leve"),AND(AA114="Alta",AC114="Menor")),"Moderado",IF(OR(AND(AA114="Muy Baja",AC114="Mayor"),AND(AA114="Baja",AC114="Mayor"),AND(AA114="Media",AC114="Mayor"),AND(AA114="Alta",AC114="Moderado"),AND(AA114="Alta",AC114="Mayor"),AND(AA114="Muy Alta",AC114="Leve"),AND(AA114="Muy Alta",AC114="Menor"),AND(AA114="Muy Alta",AC114="Moderado"),AND(AA114="Muy Alta",AC114="Mayor")),"Alto",IF(OR(AND(AA114="Muy Baja",AC114="Catastrófico"),AND(AA114="Baja",AC114="Catastrófico"),AND(AA114="Media",AC114="Catastrófico"),AND(AA114="Alta",AC114="Catastrófico"),AND(AA114="Muy Alta",AC114="Catastrófico")),"Extremo","")))),"")</f>
        <v/>
      </c>
      <c r="AF114" s="116"/>
      <c r="AG114" s="121"/>
      <c r="AH114" s="122"/>
      <c r="AI114" s="123"/>
      <c r="AJ114" s="123"/>
      <c r="AK114" s="121"/>
      <c r="AL114" s="122"/>
    </row>
    <row r="115" spans="1:38" x14ac:dyDescent="0.3">
      <c r="A115" s="212"/>
      <c r="B115" s="139"/>
      <c r="C115" s="139"/>
      <c r="D115" s="213"/>
      <c r="E115" s="208"/>
      <c r="F115" s="141"/>
      <c r="G115" s="213"/>
      <c r="H115" s="140"/>
      <c r="I115" s="214"/>
      <c r="J115" s="204"/>
      <c r="K115" s="205"/>
      <c r="L115" s="207"/>
      <c r="M115" s="205">
        <f ca="1">IF(NOT(ISERROR(MATCH(L115,_xlfn.ANCHORARRAY(E126),0))),K128&amp;"Por favor no seleccionar los criterios de impacto",L115)</f>
        <v>0</v>
      </c>
      <c r="N115" s="204"/>
      <c r="O115" s="205"/>
      <c r="P115" s="206"/>
      <c r="Q115" s="113">
        <v>5</v>
      </c>
      <c r="R115" s="114"/>
      <c r="S115" s="115" t="str">
        <f t="shared" si="151"/>
        <v/>
      </c>
      <c r="T115" s="116"/>
      <c r="U115" s="116"/>
      <c r="V115" s="117" t="str">
        <f t="shared" si="146"/>
        <v/>
      </c>
      <c r="W115" s="116"/>
      <c r="X115" s="116"/>
      <c r="Y115" s="116"/>
      <c r="Z115" s="118" t="str">
        <f t="shared" si="152"/>
        <v/>
      </c>
      <c r="AA115" s="119" t="str">
        <f t="shared" si="147"/>
        <v/>
      </c>
      <c r="AB115" s="117" t="str">
        <f t="shared" si="148"/>
        <v/>
      </c>
      <c r="AC115" s="119" t="str">
        <f t="shared" si="149"/>
        <v/>
      </c>
      <c r="AD115" s="117" t="str">
        <f t="shared" si="153"/>
        <v/>
      </c>
      <c r="AE115" s="120" t="str">
        <f t="shared" ref="AE115:AE116" si="154">IFERROR(IF(OR(AND(AA115="Muy Baja",AC115="Leve"),AND(AA115="Muy Baja",AC115="Menor"),AND(AA115="Baja",AC115="Leve")),"Bajo",IF(OR(AND(AA115="Muy baja",AC115="Moderado"),AND(AA115="Baja",AC115="Menor"),AND(AA115="Baja",AC115="Moderado"),AND(AA115="Media",AC115="Leve"),AND(AA115="Media",AC115="Menor"),AND(AA115="Media",AC115="Moderado"),AND(AA115="Alta",AC115="Leve"),AND(AA115="Alta",AC115="Menor")),"Moderado",IF(OR(AND(AA115="Muy Baja",AC115="Mayor"),AND(AA115="Baja",AC115="Mayor"),AND(AA115="Media",AC115="Mayor"),AND(AA115="Alta",AC115="Moderado"),AND(AA115="Alta",AC115="Mayor"),AND(AA115="Muy Alta",AC115="Leve"),AND(AA115="Muy Alta",AC115="Menor"),AND(AA115="Muy Alta",AC115="Moderado"),AND(AA115="Muy Alta",AC115="Mayor")),"Alto",IF(OR(AND(AA115="Muy Baja",AC115="Catastrófico"),AND(AA115="Baja",AC115="Catastrófico"),AND(AA115="Media",AC115="Catastrófico"),AND(AA115="Alta",AC115="Catastrófico"),AND(AA115="Muy Alta",AC115="Catastrófico")),"Extremo","")))),"")</f>
        <v/>
      </c>
      <c r="AF115" s="116"/>
      <c r="AG115" s="121"/>
      <c r="AH115" s="122"/>
      <c r="AI115" s="123"/>
      <c r="AJ115" s="123"/>
      <c r="AK115" s="121"/>
      <c r="AL115" s="122"/>
    </row>
    <row r="116" spans="1:38" x14ac:dyDescent="0.3">
      <c r="A116" s="212"/>
      <c r="B116" s="139"/>
      <c r="C116" s="139"/>
      <c r="D116" s="213"/>
      <c r="E116" s="208"/>
      <c r="F116" s="141"/>
      <c r="G116" s="213"/>
      <c r="H116" s="140"/>
      <c r="I116" s="214"/>
      <c r="J116" s="204"/>
      <c r="K116" s="205"/>
      <c r="L116" s="207"/>
      <c r="M116" s="205">
        <f ca="1">IF(NOT(ISERROR(MATCH(L116,_xlfn.ANCHORARRAY(E127),0))),K130&amp;"Por favor no seleccionar los criterios de impacto",L116)</f>
        <v>0</v>
      </c>
      <c r="N116" s="204"/>
      <c r="O116" s="205"/>
      <c r="P116" s="206"/>
      <c r="Q116" s="113">
        <v>6</v>
      </c>
      <c r="R116" s="114"/>
      <c r="S116" s="115" t="str">
        <f t="shared" si="151"/>
        <v/>
      </c>
      <c r="T116" s="116"/>
      <c r="U116" s="116"/>
      <c r="V116" s="117" t="str">
        <f t="shared" si="146"/>
        <v/>
      </c>
      <c r="W116" s="116"/>
      <c r="X116" s="116"/>
      <c r="Y116" s="116"/>
      <c r="Z116" s="118" t="str">
        <f t="shared" si="152"/>
        <v/>
      </c>
      <c r="AA116" s="119" t="str">
        <f t="shared" si="147"/>
        <v/>
      </c>
      <c r="AB116" s="117" t="str">
        <f t="shared" si="148"/>
        <v/>
      </c>
      <c r="AC116" s="119" t="str">
        <f t="shared" si="149"/>
        <v/>
      </c>
      <c r="AD116" s="117" t="str">
        <f t="shared" si="153"/>
        <v/>
      </c>
      <c r="AE116" s="120" t="str">
        <f t="shared" si="154"/>
        <v/>
      </c>
      <c r="AF116" s="116"/>
      <c r="AG116" s="121"/>
      <c r="AH116" s="122"/>
      <c r="AI116" s="123"/>
      <c r="AJ116" s="123"/>
      <c r="AK116" s="121"/>
      <c r="AL116" s="122"/>
    </row>
    <row r="117" spans="1:38" x14ac:dyDescent="0.3">
      <c r="A117" s="212">
        <v>9</v>
      </c>
      <c r="B117" s="139"/>
      <c r="C117" s="139"/>
      <c r="D117" s="213"/>
      <c r="E117" s="208"/>
      <c r="F117" s="141"/>
      <c r="G117" s="213"/>
      <c r="H117" s="140"/>
      <c r="I117" s="214"/>
      <c r="J117" s="204" t="str">
        <f>IF(I117&lt;=0,"",IF(I117&lt;=2,"Muy Baja",IF(I117&lt;=24,"Baja",IF(I117&lt;=500,"Media",IF(I117&lt;=5000,"Alta","Muy Alta")))))</f>
        <v/>
      </c>
      <c r="K117" s="205" t="str">
        <f>IF(J117="","",IF(J117="Muy Baja",0.2,IF(J117="Baja",0.4,IF(J117="Media",0.6,IF(J117="Alta",0.8,IF(J117="Muy Alta",1,))))))</f>
        <v/>
      </c>
      <c r="L117" s="207"/>
      <c r="M117" s="205">
        <f ca="1">IF(NOT(ISERROR(MATCH(L117,'Tabla Impacto'!$B$221:$B$223,0))),'Tabla Impacto'!$F$223&amp;"Por favor no seleccionar los criterios de impacto(Afectación Económica o presupuestal y Pérdida Reputacional)",L117)</f>
        <v>0</v>
      </c>
      <c r="N117" s="204" t="str">
        <f ca="1">IF(OR(M117='Tabla Impacto'!$C$11,M117='Tabla Impacto'!$D$11),"Leve",IF(OR(M117='Tabla Impacto'!$C$12,M117='Tabla Impacto'!$D$12),"Menor",IF(OR(M117='Tabla Impacto'!$C$13,M117='Tabla Impacto'!$D$13),"Moderado",IF(OR(M117='Tabla Impacto'!$C$14,M117='Tabla Impacto'!$D$14),"Mayor",IF(OR(M117='Tabla Impacto'!$C$15,M117='Tabla Impacto'!$D$15),"Catastrófico","")))))</f>
        <v/>
      </c>
      <c r="O117" s="205" t="str">
        <f ca="1">IF(N117="","",IF(N117="Leve",0.2,IF(N117="Menor",0.4,IF(N117="Moderado",0.6,IF(N117="Mayor",0.8,IF(N117="Catastrófico",1,))))))</f>
        <v/>
      </c>
      <c r="P117" s="206" t="str">
        <f ca="1">IF(OR(AND(J117="Muy Baja",N117="Leve"),AND(J117="Muy Baja",N117="Menor"),AND(J117="Baja",N117="Leve")),"Bajo",IF(OR(AND(J117="Muy baja",N117="Moderado"),AND(J117="Baja",N117="Menor"),AND(J117="Baja",N117="Moderado"),AND(J117="Media",N117="Leve"),AND(J117="Media",N117="Menor"),AND(J117="Media",N117="Moderado"),AND(J117="Alta",N117="Leve"),AND(J117="Alta",N117="Menor")),"Moderado",IF(OR(AND(J117="Muy Baja",N117="Mayor"),AND(J117="Baja",N117="Mayor"),AND(J117="Media",N117="Mayor"),AND(J117="Alta",N117="Moderado"),AND(J117="Alta",N117="Mayor"),AND(J117="Muy Alta",N117="Leve"),AND(J117="Muy Alta",N117="Menor"),AND(J117="Muy Alta",N117="Moderado"),AND(J117="Muy Alta",N117="Mayor")),"Alto",IF(OR(AND(J117="Muy Baja",N117="Catastrófico"),AND(J117="Baja",N117="Catastrófico"),AND(J117="Media",N117="Catastrófico"),AND(J117="Alta",N117="Catastrófico"),AND(J117="Muy Alta",N117="Catastrófico")),"Extremo",""))))</f>
        <v/>
      </c>
      <c r="Q117" s="113">
        <v>1</v>
      </c>
      <c r="R117" s="114"/>
      <c r="S117" s="115" t="str">
        <f>IF(OR(T117="Preventivo",T117="Detectivo"),"Probabilidad",IF(T117="Correctivo","Impacto",""))</f>
        <v/>
      </c>
      <c r="T117" s="116"/>
      <c r="U117" s="116"/>
      <c r="V117" s="117" t="str">
        <f>IF(AND(T117="Preventivo",U117="Automático"),"50%",IF(AND(T117="Preventivo",U117="Manual"),"40%",IF(AND(T117="Detectivo",U117="Automático"),"40%",IF(AND(T117="Detectivo",U117="Manual"),"30%",IF(AND(T117="Correctivo",U117="Automático"),"35%",IF(AND(T117="Correctivo",U117="Manual"),"25%",""))))))</f>
        <v/>
      </c>
      <c r="W117" s="116"/>
      <c r="X117" s="116"/>
      <c r="Y117" s="116"/>
      <c r="Z117" s="118" t="str">
        <f>IFERROR(IF(S117="Probabilidad",(K117-(+K117*V117)),IF(S117="Impacto",K117,"")),"")</f>
        <v/>
      </c>
      <c r="AA117" s="119" t="str">
        <f>IFERROR(IF(Z117="","",IF(Z117&lt;=0.2,"Muy Baja",IF(Z117&lt;=0.4,"Baja",IF(Z117&lt;=0.6,"Media",IF(Z117&lt;=0.8,"Alta","Muy Alta"))))),"")</f>
        <v/>
      </c>
      <c r="AB117" s="117" t="str">
        <f>+Z117</f>
        <v/>
      </c>
      <c r="AC117" s="119" t="str">
        <f>IFERROR(IF(AD117="","",IF(AD117&lt;=0.2,"Leve",IF(AD117&lt;=0.4,"Menor",IF(AD117&lt;=0.6,"Moderado",IF(AD117&lt;=0.8,"Mayor","Catastrófico"))))),"")</f>
        <v/>
      </c>
      <c r="AD117" s="117" t="str">
        <f>IFERROR(IF(S117="Impacto",(O117-(+O117*V117)),IF(S117="Probabilidad",O117,"")),"")</f>
        <v/>
      </c>
      <c r="AE117" s="120" t="str">
        <f>IFERROR(IF(OR(AND(AA117="Muy Baja",AC117="Leve"),AND(AA117="Muy Baja",AC117="Menor"),AND(AA117="Baja",AC117="Leve")),"Bajo",IF(OR(AND(AA117="Muy baja",AC117="Moderado"),AND(AA117="Baja",AC117="Menor"),AND(AA117="Baja",AC117="Moderado"),AND(AA117="Media",AC117="Leve"),AND(AA117="Media",AC117="Menor"),AND(AA117="Media",AC117="Moderado"),AND(AA117="Alta",AC117="Leve"),AND(AA117="Alta",AC117="Menor")),"Moderado",IF(OR(AND(AA117="Muy Baja",AC117="Mayor"),AND(AA117="Baja",AC117="Mayor"),AND(AA117="Media",AC117="Mayor"),AND(AA117="Alta",AC117="Moderado"),AND(AA117="Alta",AC117="Mayor"),AND(AA117="Muy Alta",AC117="Leve"),AND(AA117="Muy Alta",AC117="Menor"),AND(AA117="Muy Alta",AC117="Moderado"),AND(AA117="Muy Alta",AC117="Mayor")),"Alto",IF(OR(AND(AA117="Muy Baja",AC117="Catastrófico"),AND(AA117="Baja",AC117="Catastrófico"),AND(AA117="Media",AC117="Catastrófico"),AND(AA117="Alta",AC117="Catastrófico"),AND(AA117="Muy Alta",AC117="Catastrófico")),"Extremo","")))),"")</f>
        <v/>
      </c>
      <c r="AF117" s="116"/>
      <c r="AG117" s="121"/>
      <c r="AH117" s="122"/>
      <c r="AI117" s="123"/>
      <c r="AJ117" s="123"/>
      <c r="AK117" s="121"/>
      <c r="AL117" s="122"/>
    </row>
    <row r="118" spans="1:38" x14ac:dyDescent="0.3">
      <c r="A118" s="212"/>
      <c r="B118" s="139"/>
      <c r="C118" s="139"/>
      <c r="D118" s="213"/>
      <c r="E118" s="208"/>
      <c r="F118" s="141"/>
      <c r="G118" s="213"/>
      <c r="H118" s="140"/>
      <c r="I118" s="214"/>
      <c r="J118" s="204"/>
      <c r="K118" s="205"/>
      <c r="L118" s="207"/>
      <c r="M118" s="205">
        <f ca="1">IF(NOT(ISERROR(MATCH(L118,_xlfn.ANCHORARRAY(E130),0))),K132&amp;"Por favor no seleccionar los criterios de impacto",L118)</f>
        <v>0</v>
      </c>
      <c r="N118" s="204"/>
      <c r="O118" s="205"/>
      <c r="P118" s="206"/>
      <c r="Q118" s="113">
        <v>2</v>
      </c>
      <c r="R118" s="114"/>
      <c r="S118" s="115" t="str">
        <f>IF(OR(T118="Preventivo",T118="Detectivo"),"Probabilidad",IF(T118="Correctivo","Impacto",""))</f>
        <v/>
      </c>
      <c r="T118" s="116"/>
      <c r="U118" s="116"/>
      <c r="V118" s="117" t="str">
        <f t="shared" ref="V118:V122" si="155">IF(AND(T118="Preventivo",U118="Automático"),"50%",IF(AND(T118="Preventivo",U118="Manual"),"40%",IF(AND(T118="Detectivo",U118="Automático"),"40%",IF(AND(T118="Detectivo",U118="Manual"),"30%",IF(AND(T118="Correctivo",U118="Automático"),"35%",IF(AND(T118="Correctivo",U118="Manual"),"25%",""))))))</f>
        <v/>
      </c>
      <c r="W118" s="116"/>
      <c r="X118" s="116"/>
      <c r="Y118" s="116"/>
      <c r="Z118" s="118" t="str">
        <f>IFERROR(IF(AND(S117="Probabilidad",S118="Probabilidad"),(AB117-(+AB117*V118)),IF(S118="Probabilidad",(K117-(+K117*V118)),IF(S118="Impacto",AB117,""))),"")</f>
        <v/>
      </c>
      <c r="AA118" s="119" t="str">
        <f t="shared" ref="AA118:AA122" si="156">IFERROR(IF(Z118="","",IF(Z118&lt;=0.2,"Muy Baja",IF(Z118&lt;=0.4,"Baja",IF(Z118&lt;=0.6,"Media",IF(Z118&lt;=0.8,"Alta","Muy Alta"))))),"")</f>
        <v/>
      </c>
      <c r="AB118" s="117" t="str">
        <f t="shared" ref="AB118:AB122" si="157">+Z118</f>
        <v/>
      </c>
      <c r="AC118" s="119" t="str">
        <f t="shared" ref="AC118:AC122" si="158">IFERROR(IF(AD118="","",IF(AD118&lt;=0.2,"Leve",IF(AD118&lt;=0.4,"Menor",IF(AD118&lt;=0.6,"Moderado",IF(AD118&lt;=0.8,"Mayor","Catastrófico"))))),"")</f>
        <v/>
      </c>
      <c r="AD118" s="117" t="str">
        <f>IFERROR(IF(AND(S117="Impacto",S118="Impacto"),(AD111-(+AD111*V118)),IF(S118="Impacto",($O$57-(+$O$57*V118)),IF(S118="Probabilidad",AD111,""))),"")</f>
        <v/>
      </c>
      <c r="AE118" s="120" t="str">
        <f t="shared" ref="AE118:AE119" si="159">IFERROR(IF(OR(AND(AA118="Muy Baja",AC118="Leve"),AND(AA118="Muy Baja",AC118="Menor"),AND(AA118="Baja",AC118="Leve")),"Bajo",IF(OR(AND(AA118="Muy baja",AC118="Moderado"),AND(AA118="Baja",AC118="Menor"),AND(AA118="Baja",AC118="Moderado"),AND(AA118="Media",AC118="Leve"),AND(AA118="Media",AC118="Menor"),AND(AA118="Media",AC118="Moderado"),AND(AA118="Alta",AC118="Leve"),AND(AA118="Alta",AC118="Menor")),"Moderado",IF(OR(AND(AA118="Muy Baja",AC118="Mayor"),AND(AA118="Baja",AC118="Mayor"),AND(AA118="Media",AC118="Mayor"),AND(AA118="Alta",AC118="Moderado"),AND(AA118="Alta",AC118="Mayor"),AND(AA118="Muy Alta",AC118="Leve"),AND(AA118="Muy Alta",AC118="Menor"),AND(AA118="Muy Alta",AC118="Moderado"),AND(AA118="Muy Alta",AC118="Mayor")),"Alto",IF(OR(AND(AA118="Muy Baja",AC118="Catastrófico"),AND(AA118="Baja",AC118="Catastrófico"),AND(AA118="Media",AC118="Catastrófico"),AND(AA118="Alta",AC118="Catastrófico"),AND(AA118="Muy Alta",AC118="Catastrófico")),"Extremo","")))),"")</f>
        <v/>
      </c>
      <c r="AF118" s="116"/>
      <c r="AG118" s="121"/>
      <c r="AH118" s="122"/>
      <c r="AI118" s="123"/>
      <c r="AJ118" s="123"/>
      <c r="AK118" s="121"/>
      <c r="AL118" s="122"/>
    </row>
    <row r="119" spans="1:38" x14ac:dyDescent="0.3">
      <c r="A119" s="212"/>
      <c r="B119" s="139"/>
      <c r="C119" s="139"/>
      <c r="D119" s="213"/>
      <c r="E119" s="208"/>
      <c r="F119" s="141"/>
      <c r="G119" s="213"/>
      <c r="H119" s="140"/>
      <c r="I119" s="214"/>
      <c r="J119" s="204"/>
      <c r="K119" s="205"/>
      <c r="L119" s="207"/>
      <c r="M119" s="205">
        <f ca="1">IF(NOT(ISERROR(MATCH(L119,_xlfn.ANCHORARRAY(E131),0))),K133&amp;"Por favor no seleccionar los criterios de impacto",L119)</f>
        <v>0</v>
      </c>
      <c r="N119" s="204"/>
      <c r="O119" s="205"/>
      <c r="P119" s="206"/>
      <c r="Q119" s="113">
        <v>3</v>
      </c>
      <c r="R119" s="126"/>
      <c r="S119" s="115" t="str">
        <f>IF(OR(T119="Preventivo",T119="Detectivo"),"Probabilidad",IF(T119="Correctivo","Impacto",""))</f>
        <v/>
      </c>
      <c r="T119" s="116"/>
      <c r="U119" s="116"/>
      <c r="V119" s="117" t="str">
        <f t="shared" si="155"/>
        <v/>
      </c>
      <c r="W119" s="116"/>
      <c r="X119" s="116"/>
      <c r="Y119" s="116"/>
      <c r="Z119" s="118" t="str">
        <f>IFERROR(IF(AND(S118="Probabilidad",S119="Probabilidad"),(AB118-(+AB118*V119)),IF(AND(S118="Impacto",S119="Probabilidad"),(AB117-(+AB117*V119)),IF(S119="Impacto",AB118,""))),"")</f>
        <v/>
      </c>
      <c r="AA119" s="119" t="str">
        <f t="shared" si="156"/>
        <v/>
      </c>
      <c r="AB119" s="117" t="str">
        <f t="shared" si="157"/>
        <v/>
      </c>
      <c r="AC119" s="119" t="str">
        <f t="shared" si="158"/>
        <v/>
      </c>
      <c r="AD119" s="117" t="str">
        <f>IFERROR(IF(AND(S118="Impacto",S119="Impacto"),(AD118-(+AD118*V119)),IF(AND(S118="Probabilidad",S119="Impacto"),(AD117-(+AD117*V119)),IF(S119="Probabilidad",AD118,""))),"")</f>
        <v/>
      </c>
      <c r="AE119" s="120" t="str">
        <f t="shared" si="159"/>
        <v/>
      </c>
      <c r="AF119" s="116"/>
      <c r="AG119" s="121"/>
      <c r="AH119" s="122"/>
      <c r="AI119" s="123"/>
      <c r="AJ119" s="123"/>
      <c r="AK119" s="121"/>
      <c r="AL119" s="122"/>
    </row>
    <row r="120" spans="1:38" x14ac:dyDescent="0.3">
      <c r="A120" s="212"/>
      <c r="B120" s="139"/>
      <c r="C120" s="139"/>
      <c r="D120" s="213"/>
      <c r="E120" s="208"/>
      <c r="F120" s="141"/>
      <c r="G120" s="213"/>
      <c r="H120" s="140"/>
      <c r="I120" s="214"/>
      <c r="J120" s="204"/>
      <c r="K120" s="205"/>
      <c r="L120" s="207"/>
      <c r="M120" s="205">
        <f ca="1">IF(NOT(ISERROR(MATCH(L120,_xlfn.ANCHORARRAY(E132),0))),K134&amp;"Por favor no seleccionar los criterios de impacto",L120)</f>
        <v>0</v>
      </c>
      <c r="N120" s="204"/>
      <c r="O120" s="205"/>
      <c r="P120" s="206"/>
      <c r="Q120" s="113">
        <v>4</v>
      </c>
      <c r="R120" s="114"/>
      <c r="S120" s="115" t="str">
        <f t="shared" ref="S120:S122" si="160">IF(OR(T120="Preventivo",T120="Detectivo"),"Probabilidad",IF(T120="Correctivo","Impacto",""))</f>
        <v/>
      </c>
      <c r="T120" s="116"/>
      <c r="U120" s="116"/>
      <c r="V120" s="117" t="str">
        <f t="shared" si="155"/>
        <v/>
      </c>
      <c r="W120" s="116"/>
      <c r="X120" s="116"/>
      <c r="Y120" s="116"/>
      <c r="Z120" s="118" t="str">
        <f t="shared" ref="Z120:Z122" si="161">IFERROR(IF(AND(S119="Probabilidad",S120="Probabilidad"),(AB119-(+AB119*V120)),IF(AND(S119="Impacto",S120="Probabilidad"),(AB118-(+AB118*V120)),IF(S120="Impacto",AB119,""))),"")</f>
        <v/>
      </c>
      <c r="AA120" s="119" t="str">
        <f t="shared" si="156"/>
        <v/>
      </c>
      <c r="AB120" s="117" t="str">
        <f t="shared" si="157"/>
        <v/>
      </c>
      <c r="AC120" s="119" t="str">
        <f t="shared" si="158"/>
        <v/>
      </c>
      <c r="AD120" s="117" t="str">
        <f t="shared" ref="AD120:AD122" si="162">IFERROR(IF(AND(S119="Impacto",S120="Impacto"),(AD119-(+AD119*V120)),IF(AND(S119="Probabilidad",S120="Impacto"),(AD118-(+AD118*V120)),IF(S120="Probabilidad",AD119,""))),"")</f>
        <v/>
      </c>
      <c r="AE120" s="120" t="str">
        <f>IFERROR(IF(OR(AND(AA120="Muy Baja",AC120="Leve"),AND(AA120="Muy Baja",AC120="Menor"),AND(AA120="Baja",AC120="Leve")),"Bajo",IF(OR(AND(AA120="Muy baja",AC120="Moderado"),AND(AA120="Baja",AC120="Menor"),AND(AA120="Baja",AC120="Moderado"),AND(AA120="Media",AC120="Leve"),AND(AA120="Media",AC120="Menor"),AND(AA120="Media",AC120="Moderado"),AND(AA120="Alta",AC120="Leve"),AND(AA120="Alta",AC120="Menor")),"Moderado",IF(OR(AND(AA120="Muy Baja",AC120="Mayor"),AND(AA120="Baja",AC120="Mayor"),AND(AA120="Media",AC120="Mayor"),AND(AA120="Alta",AC120="Moderado"),AND(AA120="Alta",AC120="Mayor"),AND(AA120="Muy Alta",AC120="Leve"),AND(AA120="Muy Alta",AC120="Menor"),AND(AA120="Muy Alta",AC120="Moderado"),AND(AA120="Muy Alta",AC120="Mayor")),"Alto",IF(OR(AND(AA120="Muy Baja",AC120="Catastrófico"),AND(AA120="Baja",AC120="Catastrófico"),AND(AA120="Media",AC120="Catastrófico"),AND(AA120="Alta",AC120="Catastrófico"),AND(AA120="Muy Alta",AC120="Catastrófico")),"Extremo","")))),"")</f>
        <v/>
      </c>
      <c r="AF120" s="116"/>
      <c r="AG120" s="121"/>
      <c r="AH120" s="122"/>
      <c r="AI120" s="123"/>
      <c r="AJ120" s="123"/>
      <c r="AK120" s="121"/>
      <c r="AL120" s="122"/>
    </row>
    <row r="121" spans="1:38" x14ac:dyDescent="0.3">
      <c r="A121" s="212"/>
      <c r="B121" s="139"/>
      <c r="C121" s="139"/>
      <c r="D121" s="213"/>
      <c r="E121" s="208"/>
      <c r="F121" s="141"/>
      <c r="G121" s="213"/>
      <c r="H121" s="140"/>
      <c r="I121" s="214"/>
      <c r="J121" s="204"/>
      <c r="K121" s="205"/>
      <c r="L121" s="207"/>
      <c r="M121" s="205">
        <f ca="1">IF(NOT(ISERROR(MATCH(L121,_xlfn.ANCHORARRAY(E133),0))),K135&amp;"Por favor no seleccionar los criterios de impacto",L121)</f>
        <v>0</v>
      </c>
      <c r="N121" s="204"/>
      <c r="O121" s="205"/>
      <c r="P121" s="206"/>
      <c r="Q121" s="113">
        <v>5</v>
      </c>
      <c r="R121" s="114"/>
      <c r="S121" s="115" t="str">
        <f t="shared" si="160"/>
        <v/>
      </c>
      <c r="T121" s="116"/>
      <c r="U121" s="116"/>
      <c r="V121" s="117" t="str">
        <f t="shared" si="155"/>
        <v/>
      </c>
      <c r="W121" s="116"/>
      <c r="X121" s="116"/>
      <c r="Y121" s="116"/>
      <c r="Z121" s="118" t="str">
        <f t="shared" si="161"/>
        <v/>
      </c>
      <c r="AA121" s="119" t="str">
        <f t="shared" si="156"/>
        <v/>
      </c>
      <c r="AB121" s="117" t="str">
        <f t="shared" si="157"/>
        <v/>
      </c>
      <c r="AC121" s="119" t="str">
        <f t="shared" si="158"/>
        <v/>
      </c>
      <c r="AD121" s="117" t="str">
        <f t="shared" si="162"/>
        <v/>
      </c>
      <c r="AE121" s="120" t="str">
        <f t="shared" ref="AE121:AE122" si="163">IFERROR(IF(OR(AND(AA121="Muy Baja",AC121="Leve"),AND(AA121="Muy Baja",AC121="Menor"),AND(AA121="Baja",AC121="Leve")),"Bajo",IF(OR(AND(AA121="Muy baja",AC121="Moderado"),AND(AA121="Baja",AC121="Menor"),AND(AA121="Baja",AC121="Moderado"),AND(AA121="Media",AC121="Leve"),AND(AA121="Media",AC121="Menor"),AND(AA121="Media",AC121="Moderado"),AND(AA121="Alta",AC121="Leve"),AND(AA121="Alta",AC121="Menor")),"Moderado",IF(OR(AND(AA121="Muy Baja",AC121="Mayor"),AND(AA121="Baja",AC121="Mayor"),AND(AA121="Media",AC121="Mayor"),AND(AA121="Alta",AC121="Moderado"),AND(AA121="Alta",AC121="Mayor"),AND(AA121="Muy Alta",AC121="Leve"),AND(AA121="Muy Alta",AC121="Menor"),AND(AA121="Muy Alta",AC121="Moderado"),AND(AA121="Muy Alta",AC121="Mayor")),"Alto",IF(OR(AND(AA121="Muy Baja",AC121="Catastrófico"),AND(AA121="Baja",AC121="Catastrófico"),AND(AA121="Media",AC121="Catastrófico"),AND(AA121="Alta",AC121="Catastrófico"),AND(AA121="Muy Alta",AC121="Catastrófico")),"Extremo","")))),"")</f>
        <v/>
      </c>
      <c r="AF121" s="116"/>
      <c r="AG121" s="121"/>
      <c r="AH121" s="122"/>
      <c r="AI121" s="123"/>
      <c r="AJ121" s="123"/>
      <c r="AK121" s="121"/>
      <c r="AL121" s="122"/>
    </row>
    <row r="122" spans="1:38" x14ac:dyDescent="0.3">
      <c r="A122" s="212"/>
      <c r="B122" s="139"/>
      <c r="C122" s="139"/>
      <c r="D122" s="213"/>
      <c r="E122" s="208"/>
      <c r="F122" s="141"/>
      <c r="G122" s="213"/>
      <c r="H122" s="140"/>
      <c r="I122" s="214"/>
      <c r="J122" s="204"/>
      <c r="K122" s="205"/>
      <c r="L122" s="207"/>
      <c r="M122" s="205">
        <f ca="1">IF(NOT(ISERROR(MATCH(L122,_xlfn.ANCHORARRAY(E134),0))),K136&amp;"Por favor no seleccionar los criterios de impacto",L122)</f>
        <v>0</v>
      </c>
      <c r="N122" s="204"/>
      <c r="O122" s="205"/>
      <c r="P122" s="206"/>
      <c r="Q122" s="113">
        <v>6</v>
      </c>
      <c r="R122" s="114"/>
      <c r="S122" s="115" t="str">
        <f t="shared" si="160"/>
        <v/>
      </c>
      <c r="T122" s="116"/>
      <c r="U122" s="116"/>
      <c r="V122" s="117" t="str">
        <f t="shared" si="155"/>
        <v/>
      </c>
      <c r="W122" s="116"/>
      <c r="X122" s="116"/>
      <c r="Y122" s="116"/>
      <c r="Z122" s="118" t="str">
        <f t="shared" si="161"/>
        <v/>
      </c>
      <c r="AA122" s="119" t="str">
        <f t="shared" si="156"/>
        <v/>
      </c>
      <c r="AB122" s="117" t="str">
        <f t="shared" si="157"/>
        <v/>
      </c>
      <c r="AC122" s="119" t="str">
        <f t="shared" si="158"/>
        <v/>
      </c>
      <c r="AD122" s="117" t="str">
        <f t="shared" si="162"/>
        <v/>
      </c>
      <c r="AE122" s="120" t="str">
        <f t="shared" si="163"/>
        <v/>
      </c>
      <c r="AF122" s="116"/>
      <c r="AG122" s="121"/>
      <c r="AH122" s="122"/>
      <c r="AI122" s="123"/>
      <c r="AJ122" s="123"/>
      <c r="AK122" s="121"/>
      <c r="AL122" s="122"/>
    </row>
    <row r="123" spans="1:38" x14ac:dyDescent="0.3">
      <c r="A123" s="212">
        <v>10</v>
      </c>
      <c r="B123" s="139"/>
      <c r="C123" s="139"/>
      <c r="D123" s="213"/>
      <c r="E123" s="208"/>
      <c r="F123" s="141"/>
      <c r="G123" s="213"/>
      <c r="H123" s="140"/>
      <c r="I123" s="214"/>
      <c r="J123" s="204" t="str">
        <f>IF(I123&lt;=0,"",IF(I123&lt;=2,"Muy Baja",IF(I123&lt;=24,"Baja",IF(I123&lt;=500,"Media",IF(I123&lt;=5000,"Alta","Muy Alta")))))</f>
        <v/>
      </c>
      <c r="K123" s="205" t="str">
        <f>IF(J123="","",IF(J123="Muy Baja",0.2,IF(J123="Baja",0.4,IF(J123="Media",0.6,IF(J123="Alta",0.8,IF(J123="Muy Alta",1,))))))</f>
        <v/>
      </c>
      <c r="L123" s="207"/>
      <c r="M123" s="205">
        <f ca="1">IF(NOT(ISERROR(MATCH(L123,'Tabla Impacto'!$B$221:$B$223,0))),'Tabla Impacto'!$F$223&amp;"Por favor no seleccionar los criterios de impacto(Afectación Económica o presupuestal y Pérdida Reputacional)",L123)</f>
        <v>0</v>
      </c>
      <c r="N123" s="204" t="str">
        <f ca="1">IF(OR(M123='Tabla Impacto'!$C$11,M123='Tabla Impacto'!$D$11),"Leve",IF(OR(M123='Tabla Impacto'!$C$12,M123='Tabla Impacto'!$D$12),"Menor",IF(OR(M123='Tabla Impacto'!$C$13,M123='Tabla Impacto'!$D$13),"Moderado",IF(OR(M123='Tabla Impacto'!$C$14,M123='Tabla Impacto'!$D$14),"Mayor",IF(OR(M123='Tabla Impacto'!$C$15,M123='Tabla Impacto'!$D$15),"Catastrófico","")))))</f>
        <v/>
      </c>
      <c r="O123" s="205" t="str">
        <f ca="1">IF(N123="","",IF(N123="Leve",0.2,IF(N123="Menor",0.4,IF(N123="Moderado",0.6,IF(N123="Mayor",0.8,IF(N123="Catastrófico",1,))))))</f>
        <v/>
      </c>
      <c r="P123" s="206" t="str">
        <f ca="1">IF(OR(AND(J123="Muy Baja",N123="Leve"),AND(J123="Muy Baja",N123="Menor"),AND(J123="Baja",N123="Leve")),"Bajo",IF(OR(AND(J123="Muy baja",N123="Moderado"),AND(J123="Baja",N123="Menor"),AND(J123="Baja",N123="Moderado"),AND(J123="Media",N123="Leve"),AND(J123="Media",N123="Menor"),AND(J123="Media",N123="Moderado"),AND(J123="Alta",N123="Leve"),AND(J123="Alta",N123="Menor")),"Moderado",IF(OR(AND(J123="Muy Baja",N123="Mayor"),AND(J123="Baja",N123="Mayor"),AND(J123="Media",N123="Mayor"),AND(J123="Alta",N123="Moderado"),AND(J123="Alta",N123="Mayor"),AND(J123="Muy Alta",N123="Leve"),AND(J123="Muy Alta",N123="Menor"),AND(J123="Muy Alta",N123="Moderado"),AND(J123="Muy Alta",N123="Mayor")),"Alto",IF(OR(AND(J123="Muy Baja",N123="Catastrófico"),AND(J123="Baja",N123="Catastrófico"),AND(J123="Media",N123="Catastrófico"),AND(J123="Alta",N123="Catastrófico"),AND(J123="Muy Alta",N123="Catastrófico")),"Extremo",""))))</f>
        <v/>
      </c>
      <c r="Q123" s="113">
        <v>1</v>
      </c>
      <c r="R123" s="114"/>
      <c r="S123" s="115" t="str">
        <f>IF(OR(T123="Preventivo",T123="Detectivo"),"Probabilidad",IF(T123="Correctivo","Impacto",""))</f>
        <v/>
      </c>
      <c r="T123" s="116"/>
      <c r="U123" s="116"/>
      <c r="V123" s="117" t="str">
        <f>IF(AND(T123="Preventivo",U123="Automático"),"50%",IF(AND(T123="Preventivo",U123="Manual"),"40%",IF(AND(T123="Detectivo",U123="Automático"),"40%",IF(AND(T123="Detectivo",U123="Manual"),"30%",IF(AND(T123="Correctivo",U123="Automático"),"35%",IF(AND(T123="Correctivo",U123="Manual"),"25%",""))))))</f>
        <v/>
      </c>
      <c r="W123" s="116"/>
      <c r="X123" s="116"/>
      <c r="Y123" s="116"/>
      <c r="Z123" s="118" t="str">
        <f>IFERROR(IF(S123="Probabilidad",(K123-(+K123*V123)),IF(S123="Impacto",K123,"")),"")</f>
        <v/>
      </c>
      <c r="AA123" s="119" t="str">
        <f>IFERROR(IF(Z123="","",IF(Z123&lt;=0.2,"Muy Baja",IF(Z123&lt;=0.4,"Baja",IF(Z123&lt;=0.6,"Media",IF(Z123&lt;=0.8,"Alta","Muy Alta"))))),"")</f>
        <v/>
      </c>
      <c r="AB123" s="117" t="str">
        <f>+Z123</f>
        <v/>
      </c>
      <c r="AC123" s="119" t="str">
        <f>IFERROR(IF(AD123="","",IF(AD123&lt;=0.2,"Leve",IF(AD123&lt;=0.4,"Menor",IF(AD123&lt;=0.6,"Moderado",IF(AD123&lt;=0.8,"Mayor","Catastrófico"))))),"")</f>
        <v/>
      </c>
      <c r="AD123" s="117" t="str">
        <f>IFERROR(IF(S123="Impacto",(O123-(+O123*V123)),IF(S123="Probabilidad",O123,"")),"")</f>
        <v/>
      </c>
      <c r="AE123" s="120" t="str">
        <f>IFERROR(IF(OR(AND(AA123="Muy Baja",AC123="Leve"),AND(AA123="Muy Baja",AC123="Menor"),AND(AA123="Baja",AC123="Leve")),"Bajo",IF(OR(AND(AA123="Muy baja",AC123="Moderado"),AND(AA123="Baja",AC123="Menor"),AND(AA123="Baja",AC123="Moderado"),AND(AA123="Media",AC123="Leve"),AND(AA123="Media",AC123="Menor"),AND(AA123="Media",AC123="Moderado"),AND(AA123="Alta",AC123="Leve"),AND(AA123="Alta",AC123="Menor")),"Moderado",IF(OR(AND(AA123="Muy Baja",AC123="Mayor"),AND(AA123="Baja",AC123="Mayor"),AND(AA123="Media",AC123="Mayor"),AND(AA123="Alta",AC123="Moderado"),AND(AA123="Alta",AC123="Mayor"),AND(AA123="Muy Alta",AC123="Leve"),AND(AA123="Muy Alta",AC123="Menor"),AND(AA123="Muy Alta",AC123="Moderado"),AND(AA123="Muy Alta",AC123="Mayor")),"Alto",IF(OR(AND(AA123="Muy Baja",AC123="Catastrófico"),AND(AA123="Baja",AC123="Catastrófico"),AND(AA123="Media",AC123="Catastrófico"),AND(AA123="Alta",AC123="Catastrófico"),AND(AA123="Muy Alta",AC123="Catastrófico")),"Extremo","")))),"")</f>
        <v/>
      </c>
      <c r="AF123" s="116"/>
      <c r="AG123" s="121"/>
      <c r="AH123" s="122"/>
      <c r="AI123" s="123"/>
      <c r="AJ123" s="123"/>
      <c r="AK123" s="121"/>
      <c r="AL123" s="122"/>
    </row>
    <row r="124" spans="1:38" x14ac:dyDescent="0.3">
      <c r="A124" s="212"/>
      <c r="B124" s="139"/>
      <c r="C124" s="139"/>
      <c r="D124" s="213"/>
      <c r="E124" s="208"/>
      <c r="F124" s="141"/>
      <c r="G124" s="213"/>
      <c r="H124" s="140"/>
      <c r="I124" s="214"/>
      <c r="J124" s="204"/>
      <c r="K124" s="205"/>
      <c r="L124" s="207"/>
      <c r="M124" s="205">
        <f ca="1">IF(NOT(ISERROR(MATCH(L124,_xlfn.ANCHORARRAY(E136),0))),K138&amp;"Por favor no seleccionar los criterios de impacto",L124)</f>
        <v>0</v>
      </c>
      <c r="N124" s="204"/>
      <c r="O124" s="205"/>
      <c r="P124" s="206"/>
      <c r="Q124" s="113">
        <v>2</v>
      </c>
      <c r="R124" s="114"/>
      <c r="S124" s="115" t="str">
        <f>IF(OR(T124="Preventivo",T124="Detectivo"),"Probabilidad",IF(T124="Correctivo","Impacto",""))</f>
        <v/>
      </c>
      <c r="T124" s="116"/>
      <c r="U124" s="116"/>
      <c r="V124" s="117" t="str">
        <f t="shared" ref="V124:V128" si="164">IF(AND(T124="Preventivo",U124="Automático"),"50%",IF(AND(T124="Preventivo",U124="Manual"),"40%",IF(AND(T124="Detectivo",U124="Automático"),"40%",IF(AND(T124="Detectivo",U124="Manual"),"30%",IF(AND(T124="Correctivo",U124="Automático"),"35%",IF(AND(T124="Correctivo",U124="Manual"),"25%",""))))))</f>
        <v/>
      </c>
      <c r="W124" s="116"/>
      <c r="X124" s="116"/>
      <c r="Y124" s="116"/>
      <c r="Z124" s="118" t="str">
        <f>IFERROR(IF(AND(S123="Probabilidad",S124="Probabilidad"),(AB123-(+AB123*V124)),IF(S124="Probabilidad",(K123-(+K123*V124)),IF(S124="Impacto",AB123,""))),"")</f>
        <v/>
      </c>
      <c r="AA124" s="119" t="str">
        <f t="shared" ref="AA124:AA128" si="165">IFERROR(IF(Z124="","",IF(Z124&lt;=0.2,"Muy Baja",IF(Z124&lt;=0.4,"Baja",IF(Z124&lt;=0.6,"Media",IF(Z124&lt;=0.8,"Alta","Muy Alta"))))),"")</f>
        <v/>
      </c>
      <c r="AB124" s="117" t="str">
        <f t="shared" ref="AB124:AB128" si="166">+Z124</f>
        <v/>
      </c>
      <c r="AC124" s="119" t="str">
        <f t="shared" ref="AC124:AC128" si="167">IFERROR(IF(AD124="","",IF(AD124&lt;=0.2,"Leve",IF(AD124&lt;=0.4,"Menor",IF(AD124&lt;=0.6,"Moderado",IF(AD124&lt;=0.8,"Mayor","Catastrófico"))))),"")</f>
        <v/>
      </c>
      <c r="AD124" s="117" t="str">
        <f>IFERROR(IF(AND(S123="Impacto",S124="Impacto"),(AD117-(+AD117*V124)),IF(S124="Impacto",($O$63-(+$O$63*V124)),IF(S124="Probabilidad",AD117,""))),"")</f>
        <v/>
      </c>
      <c r="AE124" s="120" t="str">
        <f t="shared" ref="AE124:AE125" si="168">IFERROR(IF(OR(AND(AA124="Muy Baja",AC124="Leve"),AND(AA124="Muy Baja",AC124="Menor"),AND(AA124="Baja",AC124="Leve")),"Bajo",IF(OR(AND(AA124="Muy baja",AC124="Moderado"),AND(AA124="Baja",AC124="Menor"),AND(AA124="Baja",AC124="Moderado"),AND(AA124="Media",AC124="Leve"),AND(AA124="Media",AC124="Menor"),AND(AA124="Media",AC124="Moderado"),AND(AA124="Alta",AC124="Leve"),AND(AA124="Alta",AC124="Menor")),"Moderado",IF(OR(AND(AA124="Muy Baja",AC124="Mayor"),AND(AA124="Baja",AC124="Mayor"),AND(AA124="Media",AC124="Mayor"),AND(AA124="Alta",AC124="Moderado"),AND(AA124="Alta",AC124="Mayor"),AND(AA124="Muy Alta",AC124="Leve"),AND(AA124="Muy Alta",AC124="Menor"),AND(AA124="Muy Alta",AC124="Moderado"),AND(AA124="Muy Alta",AC124="Mayor")),"Alto",IF(OR(AND(AA124="Muy Baja",AC124="Catastrófico"),AND(AA124="Baja",AC124="Catastrófico"),AND(AA124="Media",AC124="Catastrófico"),AND(AA124="Alta",AC124="Catastrófico"),AND(AA124="Muy Alta",AC124="Catastrófico")),"Extremo","")))),"")</f>
        <v/>
      </c>
      <c r="AF124" s="116"/>
      <c r="AG124" s="121"/>
      <c r="AH124" s="122"/>
      <c r="AI124" s="123"/>
      <c r="AJ124" s="123"/>
      <c r="AK124" s="121"/>
      <c r="AL124" s="122"/>
    </row>
    <row r="125" spans="1:38" x14ac:dyDescent="0.3">
      <c r="A125" s="212"/>
      <c r="B125" s="139"/>
      <c r="C125" s="139"/>
      <c r="D125" s="213"/>
      <c r="E125" s="208"/>
      <c r="F125" s="141"/>
      <c r="G125" s="213"/>
      <c r="H125" s="140"/>
      <c r="I125" s="214"/>
      <c r="J125" s="204"/>
      <c r="K125" s="205"/>
      <c r="L125" s="207"/>
      <c r="M125" s="205">
        <f ca="1">IF(NOT(ISERROR(MATCH(L125,_xlfn.ANCHORARRAY(E137),0))),K139&amp;"Por favor no seleccionar los criterios de impacto",L125)</f>
        <v>0</v>
      </c>
      <c r="N125" s="204"/>
      <c r="O125" s="205"/>
      <c r="P125" s="206"/>
      <c r="Q125" s="113">
        <v>3</v>
      </c>
      <c r="R125" s="126"/>
      <c r="S125" s="115" t="str">
        <f>IF(OR(T125="Preventivo",T125="Detectivo"),"Probabilidad",IF(T125="Correctivo","Impacto",""))</f>
        <v/>
      </c>
      <c r="T125" s="116"/>
      <c r="U125" s="116"/>
      <c r="V125" s="117" t="str">
        <f t="shared" si="164"/>
        <v/>
      </c>
      <c r="W125" s="116"/>
      <c r="X125" s="116"/>
      <c r="Y125" s="116"/>
      <c r="Z125" s="118" t="str">
        <f>IFERROR(IF(AND(S124="Probabilidad",S125="Probabilidad"),(AB124-(+AB124*V125)),IF(AND(S124="Impacto",S125="Probabilidad"),(AB123-(+AB123*V125)),IF(S125="Impacto",AB124,""))),"")</f>
        <v/>
      </c>
      <c r="AA125" s="119" t="str">
        <f t="shared" si="165"/>
        <v/>
      </c>
      <c r="AB125" s="117" t="str">
        <f t="shared" si="166"/>
        <v/>
      </c>
      <c r="AC125" s="119" t="str">
        <f t="shared" si="167"/>
        <v/>
      </c>
      <c r="AD125" s="117" t="str">
        <f>IFERROR(IF(AND(S124="Impacto",S125="Impacto"),(AD124-(+AD124*V125)),IF(AND(S124="Probabilidad",S125="Impacto"),(AD123-(+AD123*V125)),IF(S125="Probabilidad",AD124,""))),"")</f>
        <v/>
      </c>
      <c r="AE125" s="120" t="str">
        <f t="shared" si="168"/>
        <v/>
      </c>
      <c r="AF125" s="116"/>
      <c r="AG125" s="121"/>
      <c r="AH125" s="122"/>
      <c r="AI125" s="123"/>
      <c r="AJ125" s="123"/>
      <c r="AK125" s="121"/>
      <c r="AL125" s="122"/>
    </row>
    <row r="126" spans="1:38" x14ac:dyDescent="0.3">
      <c r="A126" s="212"/>
      <c r="B126" s="139"/>
      <c r="C126" s="139"/>
      <c r="D126" s="213"/>
      <c r="E126" s="208"/>
      <c r="F126" s="141"/>
      <c r="G126" s="213"/>
      <c r="H126" s="140"/>
      <c r="I126" s="214"/>
      <c r="J126" s="204"/>
      <c r="K126" s="205"/>
      <c r="L126" s="207"/>
      <c r="M126" s="205">
        <f ca="1">IF(NOT(ISERROR(MATCH(L126,_xlfn.ANCHORARRAY(E138),0))),K140&amp;"Por favor no seleccionar los criterios de impacto",L126)</f>
        <v>0</v>
      </c>
      <c r="N126" s="204"/>
      <c r="O126" s="205"/>
      <c r="P126" s="206"/>
      <c r="Q126" s="113">
        <v>4</v>
      </c>
      <c r="R126" s="114"/>
      <c r="S126" s="115" t="str">
        <f t="shared" ref="S126:S128" si="169">IF(OR(T126="Preventivo",T126="Detectivo"),"Probabilidad",IF(T126="Correctivo","Impacto",""))</f>
        <v/>
      </c>
      <c r="T126" s="116"/>
      <c r="U126" s="116"/>
      <c r="V126" s="117" t="str">
        <f t="shared" si="164"/>
        <v/>
      </c>
      <c r="W126" s="116"/>
      <c r="X126" s="116"/>
      <c r="Y126" s="116"/>
      <c r="Z126" s="118" t="str">
        <f t="shared" ref="Z126:Z128" si="170">IFERROR(IF(AND(S125="Probabilidad",S126="Probabilidad"),(AB125-(+AB125*V126)),IF(AND(S125="Impacto",S126="Probabilidad"),(AB124-(+AB124*V126)),IF(S126="Impacto",AB125,""))),"")</f>
        <v/>
      </c>
      <c r="AA126" s="119" t="str">
        <f t="shared" si="165"/>
        <v/>
      </c>
      <c r="AB126" s="117" t="str">
        <f t="shared" si="166"/>
        <v/>
      </c>
      <c r="AC126" s="119" t="str">
        <f t="shared" si="167"/>
        <v/>
      </c>
      <c r="AD126" s="117" t="str">
        <f t="shared" ref="AD126:AD128" si="171">IFERROR(IF(AND(S125="Impacto",S126="Impacto"),(AD125-(+AD125*V126)),IF(AND(S125="Probabilidad",S126="Impacto"),(AD124-(+AD124*V126)),IF(S126="Probabilidad",AD125,""))),"")</f>
        <v/>
      </c>
      <c r="AE126" s="120" t="str">
        <f>IFERROR(IF(OR(AND(AA126="Muy Baja",AC126="Leve"),AND(AA126="Muy Baja",AC126="Menor"),AND(AA126="Baja",AC126="Leve")),"Bajo",IF(OR(AND(AA126="Muy baja",AC126="Moderado"),AND(AA126="Baja",AC126="Menor"),AND(AA126="Baja",AC126="Moderado"),AND(AA126="Media",AC126="Leve"),AND(AA126="Media",AC126="Menor"),AND(AA126="Media",AC126="Moderado"),AND(AA126="Alta",AC126="Leve"),AND(AA126="Alta",AC126="Menor")),"Moderado",IF(OR(AND(AA126="Muy Baja",AC126="Mayor"),AND(AA126="Baja",AC126="Mayor"),AND(AA126="Media",AC126="Mayor"),AND(AA126="Alta",AC126="Moderado"),AND(AA126="Alta",AC126="Mayor"),AND(AA126="Muy Alta",AC126="Leve"),AND(AA126="Muy Alta",AC126="Menor"),AND(AA126="Muy Alta",AC126="Moderado"),AND(AA126="Muy Alta",AC126="Mayor")),"Alto",IF(OR(AND(AA126="Muy Baja",AC126="Catastrófico"),AND(AA126="Baja",AC126="Catastrófico"),AND(AA126="Media",AC126="Catastrófico"),AND(AA126="Alta",AC126="Catastrófico"),AND(AA126="Muy Alta",AC126="Catastrófico")),"Extremo","")))),"")</f>
        <v/>
      </c>
      <c r="AF126" s="116"/>
      <c r="AG126" s="121"/>
      <c r="AH126" s="122"/>
      <c r="AI126" s="123"/>
      <c r="AJ126" s="123"/>
      <c r="AK126" s="121"/>
      <c r="AL126" s="122"/>
    </row>
    <row r="127" spans="1:38" x14ac:dyDescent="0.3">
      <c r="A127" s="212"/>
      <c r="B127" s="139"/>
      <c r="C127" s="139"/>
      <c r="D127" s="213"/>
      <c r="E127" s="208"/>
      <c r="F127" s="141"/>
      <c r="G127" s="213"/>
      <c r="H127" s="140"/>
      <c r="I127" s="214"/>
      <c r="J127" s="204"/>
      <c r="K127" s="205"/>
      <c r="L127" s="207"/>
      <c r="M127" s="205">
        <f ca="1">IF(NOT(ISERROR(MATCH(L127,_xlfn.ANCHORARRAY(E139),0))),K141&amp;"Por favor no seleccionar los criterios de impacto",L127)</f>
        <v>0</v>
      </c>
      <c r="N127" s="204"/>
      <c r="O127" s="205"/>
      <c r="P127" s="206"/>
      <c r="Q127" s="113">
        <v>5</v>
      </c>
      <c r="R127" s="114"/>
      <c r="S127" s="115" t="str">
        <f t="shared" si="169"/>
        <v/>
      </c>
      <c r="T127" s="116"/>
      <c r="U127" s="116"/>
      <c r="V127" s="117" t="str">
        <f t="shared" si="164"/>
        <v/>
      </c>
      <c r="W127" s="116"/>
      <c r="X127" s="116"/>
      <c r="Y127" s="116"/>
      <c r="Z127" s="118" t="str">
        <f t="shared" si="170"/>
        <v/>
      </c>
      <c r="AA127" s="119" t="str">
        <f t="shared" si="165"/>
        <v/>
      </c>
      <c r="AB127" s="117" t="str">
        <f t="shared" si="166"/>
        <v/>
      </c>
      <c r="AC127" s="119" t="str">
        <f t="shared" si="167"/>
        <v/>
      </c>
      <c r="AD127" s="117" t="str">
        <f t="shared" si="171"/>
        <v/>
      </c>
      <c r="AE127" s="120" t="str">
        <f t="shared" ref="AE127:AE128" si="172">IFERROR(IF(OR(AND(AA127="Muy Baja",AC127="Leve"),AND(AA127="Muy Baja",AC127="Menor"),AND(AA127="Baja",AC127="Leve")),"Bajo",IF(OR(AND(AA127="Muy baja",AC127="Moderado"),AND(AA127="Baja",AC127="Menor"),AND(AA127="Baja",AC127="Moderado"),AND(AA127="Media",AC127="Leve"),AND(AA127="Media",AC127="Menor"),AND(AA127="Media",AC127="Moderado"),AND(AA127="Alta",AC127="Leve"),AND(AA127="Alta",AC127="Menor")),"Moderado",IF(OR(AND(AA127="Muy Baja",AC127="Mayor"),AND(AA127="Baja",AC127="Mayor"),AND(AA127="Media",AC127="Mayor"),AND(AA127="Alta",AC127="Moderado"),AND(AA127="Alta",AC127="Mayor"),AND(AA127="Muy Alta",AC127="Leve"),AND(AA127="Muy Alta",AC127="Menor"),AND(AA127="Muy Alta",AC127="Moderado"),AND(AA127="Muy Alta",AC127="Mayor")),"Alto",IF(OR(AND(AA127="Muy Baja",AC127="Catastrófico"),AND(AA127="Baja",AC127="Catastrófico"),AND(AA127="Media",AC127="Catastrófico"),AND(AA127="Alta",AC127="Catastrófico"),AND(AA127="Muy Alta",AC127="Catastrófico")),"Extremo","")))),"")</f>
        <v/>
      </c>
      <c r="AF127" s="116"/>
      <c r="AG127" s="121"/>
      <c r="AH127" s="122"/>
      <c r="AI127" s="123"/>
      <c r="AJ127" s="123"/>
      <c r="AK127" s="121"/>
      <c r="AL127" s="122"/>
    </row>
    <row r="128" spans="1:38" x14ac:dyDescent="0.3">
      <c r="A128" s="212"/>
      <c r="B128" s="139"/>
      <c r="C128" s="139"/>
      <c r="D128" s="213"/>
      <c r="E128" s="208"/>
      <c r="F128" s="141"/>
      <c r="G128" s="213"/>
      <c r="H128" s="140"/>
      <c r="I128" s="214"/>
      <c r="J128" s="204"/>
      <c r="K128" s="205"/>
      <c r="L128" s="207"/>
      <c r="M128" s="205">
        <f ca="1">IF(NOT(ISERROR(MATCH(L128,_xlfn.ANCHORARRAY(E140),0))),K142&amp;"Por favor no seleccionar los criterios de impacto",L128)</f>
        <v>0</v>
      </c>
      <c r="N128" s="204"/>
      <c r="O128" s="205"/>
      <c r="P128" s="206"/>
      <c r="Q128" s="113">
        <v>6</v>
      </c>
      <c r="R128" s="114"/>
      <c r="S128" s="115" t="str">
        <f t="shared" si="169"/>
        <v/>
      </c>
      <c r="T128" s="116"/>
      <c r="U128" s="116"/>
      <c r="V128" s="117" t="str">
        <f t="shared" si="164"/>
        <v/>
      </c>
      <c r="W128" s="116"/>
      <c r="X128" s="116"/>
      <c r="Y128" s="116"/>
      <c r="Z128" s="118" t="str">
        <f t="shared" si="170"/>
        <v/>
      </c>
      <c r="AA128" s="119" t="str">
        <f t="shared" si="165"/>
        <v/>
      </c>
      <c r="AB128" s="117" t="str">
        <f t="shared" si="166"/>
        <v/>
      </c>
      <c r="AC128" s="119" t="str">
        <f t="shared" si="167"/>
        <v/>
      </c>
      <c r="AD128" s="117" t="str">
        <f t="shared" si="171"/>
        <v/>
      </c>
      <c r="AE128" s="120" t="str">
        <f t="shared" si="172"/>
        <v/>
      </c>
      <c r="AF128" s="116"/>
      <c r="AG128" s="121"/>
      <c r="AH128" s="122"/>
      <c r="AI128" s="123"/>
      <c r="AJ128" s="123"/>
      <c r="AK128" s="121"/>
      <c r="AL128" s="122"/>
    </row>
    <row r="129" spans="1:38" s="132" customFormat="1" x14ac:dyDescent="0.3">
      <c r="A129" s="131"/>
      <c r="B129" s="131"/>
      <c r="C129" s="131"/>
      <c r="D129" s="131"/>
      <c r="G129" s="133"/>
      <c r="H129" s="133"/>
    </row>
    <row r="130" spans="1:38" ht="30" customHeight="1" x14ac:dyDescent="0.3">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3"/>
      <c r="AJ130" s="233"/>
      <c r="AK130" s="233"/>
      <c r="AL130" s="233"/>
    </row>
    <row r="131" spans="1:38" s="135" customFormat="1" x14ac:dyDescent="0.3">
      <c r="A131" s="134"/>
      <c r="B131" s="134"/>
      <c r="C131" s="134"/>
      <c r="D131" s="134"/>
      <c r="G131" s="136"/>
      <c r="H131" s="136"/>
    </row>
  </sheetData>
  <dataConsolidate/>
  <mergeCells count="300">
    <mergeCell ref="A1:AL1"/>
    <mergeCell ref="A2:AL2"/>
    <mergeCell ref="A3:AL3"/>
    <mergeCell ref="A4:AL4"/>
    <mergeCell ref="H7:H8"/>
    <mergeCell ref="F9:F14"/>
    <mergeCell ref="H9:H14"/>
    <mergeCell ref="D130:AL130"/>
    <mergeCell ref="L117:L122"/>
    <mergeCell ref="M117:M122"/>
    <mergeCell ref="N117:N122"/>
    <mergeCell ref="O117:O122"/>
    <mergeCell ref="P117:P122"/>
    <mergeCell ref="N123:N128"/>
    <mergeCell ref="O123:O128"/>
    <mergeCell ref="P123:P128"/>
    <mergeCell ref="N105:N110"/>
    <mergeCell ref="O105:O110"/>
    <mergeCell ref="P105:P110"/>
    <mergeCell ref="N111:N116"/>
    <mergeCell ref="O111:O116"/>
    <mergeCell ref="P111:P116"/>
    <mergeCell ref="K105:K110"/>
    <mergeCell ref="L99:L104"/>
    <mergeCell ref="O99:O104"/>
    <mergeCell ref="P99:P104"/>
    <mergeCell ref="A123:A128"/>
    <mergeCell ref="D123:D128"/>
    <mergeCell ref="E123:E128"/>
    <mergeCell ref="G123:G128"/>
    <mergeCell ref="I123:I128"/>
    <mergeCell ref="J123:J128"/>
    <mergeCell ref="K123:K128"/>
    <mergeCell ref="L123:L128"/>
    <mergeCell ref="M123:M128"/>
    <mergeCell ref="A117:A122"/>
    <mergeCell ref="D117:D122"/>
    <mergeCell ref="E117:E122"/>
    <mergeCell ref="G117:G122"/>
    <mergeCell ref="I117:I122"/>
    <mergeCell ref="J117:J122"/>
    <mergeCell ref="K117:K122"/>
    <mergeCell ref="L105:L110"/>
    <mergeCell ref="M105:M110"/>
    <mergeCell ref="A111:A116"/>
    <mergeCell ref="D111:D116"/>
    <mergeCell ref="E111:E116"/>
    <mergeCell ref="G111:G116"/>
    <mergeCell ref="I111:I116"/>
    <mergeCell ref="J111:J116"/>
    <mergeCell ref="K111:K116"/>
    <mergeCell ref="L111:L116"/>
    <mergeCell ref="M111:M116"/>
    <mergeCell ref="A105:A110"/>
    <mergeCell ref="D105:D110"/>
    <mergeCell ref="E105:E110"/>
    <mergeCell ref="G105:G110"/>
    <mergeCell ref="I105:I110"/>
    <mergeCell ref="J105:J110"/>
    <mergeCell ref="A93:A98"/>
    <mergeCell ref="D93:D98"/>
    <mergeCell ref="E93:E98"/>
    <mergeCell ref="A99:A104"/>
    <mergeCell ref="D99:D104"/>
    <mergeCell ref="E99:E104"/>
    <mergeCell ref="G99:G104"/>
    <mergeCell ref="I99:I104"/>
    <mergeCell ref="J99:J104"/>
    <mergeCell ref="K99:K104"/>
    <mergeCell ref="G93:G98"/>
    <mergeCell ref="I93:I98"/>
    <mergeCell ref="J93:J98"/>
    <mergeCell ref="K93:K98"/>
    <mergeCell ref="L93:L98"/>
    <mergeCell ref="L81:L86"/>
    <mergeCell ref="M81:M86"/>
    <mergeCell ref="N81:N86"/>
    <mergeCell ref="M99:M104"/>
    <mergeCell ref="N99:N104"/>
    <mergeCell ref="O81:O86"/>
    <mergeCell ref="P81:P86"/>
    <mergeCell ref="L87:L92"/>
    <mergeCell ref="M87:M92"/>
    <mergeCell ref="N87:N92"/>
    <mergeCell ref="O87:O92"/>
    <mergeCell ref="P87:P92"/>
    <mergeCell ref="M93:M98"/>
    <mergeCell ref="N93:N98"/>
    <mergeCell ref="O93:O98"/>
    <mergeCell ref="P93:P98"/>
    <mergeCell ref="A87:A92"/>
    <mergeCell ref="D87:D92"/>
    <mergeCell ref="E87:E92"/>
    <mergeCell ref="G87:G92"/>
    <mergeCell ref="I87:I92"/>
    <mergeCell ref="J87:J92"/>
    <mergeCell ref="K87:K92"/>
    <mergeCell ref="A81:A86"/>
    <mergeCell ref="D81:D86"/>
    <mergeCell ref="E81:E86"/>
    <mergeCell ref="G81:G86"/>
    <mergeCell ref="I81:I86"/>
    <mergeCell ref="J81:J86"/>
    <mergeCell ref="K81:K86"/>
    <mergeCell ref="L69:L74"/>
    <mergeCell ref="M69:M74"/>
    <mergeCell ref="N69:N74"/>
    <mergeCell ref="O69:O74"/>
    <mergeCell ref="P69:P74"/>
    <mergeCell ref="A75:A80"/>
    <mergeCell ref="D75:D80"/>
    <mergeCell ref="E75:E80"/>
    <mergeCell ref="G75:G80"/>
    <mergeCell ref="I75:I80"/>
    <mergeCell ref="J75:J80"/>
    <mergeCell ref="K75:K80"/>
    <mergeCell ref="L75:L80"/>
    <mergeCell ref="M75:M80"/>
    <mergeCell ref="N75:N80"/>
    <mergeCell ref="O75:O80"/>
    <mergeCell ref="P75:P80"/>
    <mergeCell ref="A69:A74"/>
    <mergeCell ref="D69:D74"/>
    <mergeCell ref="E69:E74"/>
    <mergeCell ref="G69:G74"/>
    <mergeCell ref="I69:I74"/>
    <mergeCell ref="J69:J74"/>
    <mergeCell ref="K69:K74"/>
    <mergeCell ref="D15:D20"/>
    <mergeCell ref="E15:E20"/>
    <mergeCell ref="K33:K38"/>
    <mergeCell ref="C9:C14"/>
    <mergeCell ref="B9:B14"/>
    <mergeCell ref="C15:C20"/>
    <mergeCell ref="B15:B20"/>
    <mergeCell ref="A27:A32"/>
    <mergeCell ref="D27:D32"/>
    <mergeCell ref="E27:E32"/>
    <mergeCell ref="G27:G32"/>
    <mergeCell ref="I27:I32"/>
    <mergeCell ref="J27:J32"/>
    <mergeCell ref="K27:K32"/>
    <mergeCell ref="A33:A38"/>
    <mergeCell ref="C33:C38"/>
    <mergeCell ref="B33:B38"/>
    <mergeCell ref="F33:F38"/>
    <mergeCell ref="H33:H38"/>
    <mergeCell ref="J15:J20"/>
    <mergeCell ref="K15:K20"/>
    <mergeCell ref="E21:E26"/>
    <mergeCell ref="G21:G26"/>
    <mergeCell ref="I21:I26"/>
    <mergeCell ref="AC7:AC8"/>
    <mergeCell ref="AA7:AA8"/>
    <mergeCell ref="AB7:AB8"/>
    <mergeCell ref="S7:S8"/>
    <mergeCell ref="T7:Y7"/>
    <mergeCell ref="G9:G14"/>
    <mergeCell ref="I9:I14"/>
    <mergeCell ref="J9:J14"/>
    <mergeCell ref="A9:A14"/>
    <mergeCell ref="D9:D14"/>
    <mergeCell ref="E9:E14"/>
    <mergeCell ref="K7:K8"/>
    <mergeCell ref="N7:N8"/>
    <mergeCell ref="O7:O8"/>
    <mergeCell ref="P7:P8"/>
    <mergeCell ref="L7:L8"/>
    <mergeCell ref="M7:M8"/>
    <mergeCell ref="P9:P14"/>
    <mergeCell ref="K9:K14"/>
    <mergeCell ref="L9:L14"/>
    <mergeCell ref="M9:M14"/>
    <mergeCell ref="N9:N14"/>
    <mergeCell ref="O9:O14"/>
    <mergeCell ref="L15:L20"/>
    <mergeCell ref="A15:A20"/>
    <mergeCell ref="O21:O26"/>
    <mergeCell ref="P21:P26"/>
    <mergeCell ref="AG7:AG8"/>
    <mergeCell ref="AL7:AL8"/>
    <mergeCell ref="AK7:AK8"/>
    <mergeCell ref="AJ7:AJ8"/>
    <mergeCell ref="AI7:AI8"/>
    <mergeCell ref="AH7:AH8"/>
    <mergeCell ref="A7:A8"/>
    <mergeCell ref="G7:G8"/>
    <mergeCell ref="E7:E8"/>
    <mergeCell ref="D7:D8"/>
    <mergeCell ref="AF7:AF8"/>
    <mergeCell ref="Q7:Q8"/>
    <mergeCell ref="AE7:AE8"/>
    <mergeCell ref="AD7:AD8"/>
    <mergeCell ref="Z7:Z8"/>
    <mergeCell ref="R7:R8"/>
    <mergeCell ref="I7:I8"/>
    <mergeCell ref="J7:J8"/>
    <mergeCell ref="A21:A26"/>
    <mergeCell ref="D21:D26"/>
    <mergeCell ref="J21:J26"/>
    <mergeCell ref="K21:K26"/>
    <mergeCell ref="L21:L26"/>
    <mergeCell ref="M21:M26"/>
    <mergeCell ref="A39:A44"/>
    <mergeCell ref="D39:D44"/>
    <mergeCell ref="E39:E44"/>
    <mergeCell ref="G39:G44"/>
    <mergeCell ref="D33:D38"/>
    <mergeCell ref="E33:E38"/>
    <mergeCell ref="L39:L44"/>
    <mergeCell ref="M39:M44"/>
    <mergeCell ref="G33:G38"/>
    <mergeCell ref="I33:I38"/>
    <mergeCell ref="J33:J38"/>
    <mergeCell ref="L33:L38"/>
    <mergeCell ref="I39:I44"/>
    <mergeCell ref="J39:J44"/>
    <mergeCell ref="K39:K44"/>
    <mergeCell ref="M33:M38"/>
    <mergeCell ref="A57:A62"/>
    <mergeCell ref="D57:D62"/>
    <mergeCell ref="E57:E62"/>
    <mergeCell ref="G57:G62"/>
    <mergeCell ref="I57:I62"/>
    <mergeCell ref="J57:J62"/>
    <mergeCell ref="K57:K62"/>
    <mergeCell ref="A6:I6"/>
    <mergeCell ref="J6:P6"/>
    <mergeCell ref="A51:A56"/>
    <mergeCell ref="A45:A50"/>
    <mergeCell ref="E45:E50"/>
    <mergeCell ref="O45:O50"/>
    <mergeCell ref="P45:P50"/>
    <mergeCell ref="G51:G56"/>
    <mergeCell ref="I51:I56"/>
    <mergeCell ref="J51:J56"/>
    <mergeCell ref="K51:K56"/>
    <mergeCell ref="L51:L56"/>
    <mergeCell ref="G45:G50"/>
    <mergeCell ref="I45:I50"/>
    <mergeCell ref="J45:J50"/>
    <mergeCell ref="K45:K50"/>
    <mergeCell ref="M51:M56"/>
    <mergeCell ref="Q6:Y6"/>
    <mergeCell ref="Z6:AF6"/>
    <mergeCell ref="AG6:AL6"/>
    <mergeCell ref="O57:O62"/>
    <mergeCell ref="P57:P62"/>
    <mergeCell ref="C21:C26"/>
    <mergeCell ref="B21:B26"/>
    <mergeCell ref="B27:B32"/>
    <mergeCell ref="C27:C32"/>
    <mergeCell ref="D51:D56"/>
    <mergeCell ref="E51:E56"/>
    <mergeCell ref="D45:D50"/>
    <mergeCell ref="N51:N56"/>
    <mergeCell ref="O51:O56"/>
    <mergeCell ref="P51:P56"/>
    <mergeCell ref="L45:L50"/>
    <mergeCell ref="M45:M50"/>
    <mergeCell ref="N45:N50"/>
    <mergeCell ref="N15:N20"/>
    <mergeCell ref="O15:O20"/>
    <mergeCell ref="P15:P20"/>
    <mergeCell ref="N21:N26"/>
    <mergeCell ref="G15:G20"/>
    <mergeCell ref="I15:I20"/>
    <mergeCell ref="A63:A68"/>
    <mergeCell ref="D63:D68"/>
    <mergeCell ref="E63:E68"/>
    <mergeCell ref="G63:G68"/>
    <mergeCell ref="I63:I68"/>
    <mergeCell ref="J63:J68"/>
    <mergeCell ref="K63:K68"/>
    <mergeCell ref="L63:L68"/>
    <mergeCell ref="M63:M68"/>
    <mergeCell ref="N63:N68"/>
    <mergeCell ref="O63:O68"/>
    <mergeCell ref="P63:P68"/>
    <mergeCell ref="L57:L62"/>
    <mergeCell ref="M57:M62"/>
    <mergeCell ref="F15:F20"/>
    <mergeCell ref="H15:H20"/>
    <mergeCell ref="H21:H26"/>
    <mergeCell ref="F21:F26"/>
    <mergeCell ref="F27:F32"/>
    <mergeCell ref="H27:H32"/>
    <mergeCell ref="N57:N62"/>
    <mergeCell ref="N39:N44"/>
    <mergeCell ref="N33:N38"/>
    <mergeCell ref="L27:L32"/>
    <mergeCell ref="M27:M32"/>
    <mergeCell ref="N27:N32"/>
    <mergeCell ref="O27:O32"/>
    <mergeCell ref="P27:P32"/>
    <mergeCell ref="O33:O38"/>
    <mergeCell ref="P33:P38"/>
    <mergeCell ref="O39:O44"/>
    <mergeCell ref="P39:P44"/>
    <mergeCell ref="M15:M20"/>
  </mergeCells>
  <phoneticPr fontId="61" type="noConversion"/>
  <conditionalFormatting sqref="J15">
    <cfRule type="cellIs" dxfId="490" priority="575" operator="equal">
      <formula>"Muy Alta"</formula>
    </cfRule>
    <cfRule type="cellIs" dxfId="489" priority="576" operator="equal">
      <formula>"Alta"</formula>
    </cfRule>
    <cfRule type="cellIs" dxfId="488" priority="577" operator="equal">
      <formula>"Media"</formula>
    </cfRule>
    <cfRule type="cellIs" dxfId="487" priority="578" operator="equal">
      <formula>"Baja"</formula>
    </cfRule>
    <cfRule type="cellIs" dxfId="486" priority="579" operator="equal">
      <formula>"Muy Baja"</formula>
    </cfRule>
  </conditionalFormatting>
  <conditionalFormatting sqref="N15 N21 N27 N33 N39 N45 N51 N57 N63">
    <cfRule type="cellIs" dxfId="485" priority="570" operator="equal">
      <formula>"Catastrófico"</formula>
    </cfRule>
    <cfRule type="cellIs" dxfId="484" priority="571" operator="equal">
      <formula>"Mayor"</formula>
    </cfRule>
    <cfRule type="cellIs" dxfId="483" priority="572" operator="equal">
      <formula>"Moderado"</formula>
    </cfRule>
    <cfRule type="cellIs" dxfId="482" priority="573" operator="equal">
      <formula>"Menor"</formula>
    </cfRule>
    <cfRule type="cellIs" dxfId="481" priority="574" operator="equal">
      <formula>"Leve"</formula>
    </cfRule>
  </conditionalFormatting>
  <conditionalFormatting sqref="P9">
    <cfRule type="cellIs" dxfId="480" priority="566" operator="equal">
      <formula>"Extremo"</formula>
    </cfRule>
    <cfRule type="cellIs" dxfId="479" priority="567" operator="equal">
      <formula>"Alto"</formula>
    </cfRule>
    <cfRule type="cellIs" dxfId="478" priority="568" operator="equal">
      <formula>"Moderado"</formula>
    </cfRule>
    <cfRule type="cellIs" dxfId="477" priority="569" operator="equal">
      <formula>"Bajo"</formula>
    </cfRule>
  </conditionalFormatting>
  <conditionalFormatting sqref="AA9:AA14">
    <cfRule type="cellIs" dxfId="476" priority="561" operator="equal">
      <formula>"Muy Alta"</formula>
    </cfRule>
    <cfRule type="cellIs" dxfId="475" priority="562" operator="equal">
      <formula>"Alta"</formula>
    </cfRule>
    <cfRule type="cellIs" dxfId="474" priority="563" operator="equal">
      <formula>"Media"</formula>
    </cfRule>
    <cfRule type="cellIs" dxfId="473" priority="564" operator="equal">
      <formula>"Baja"</formula>
    </cfRule>
    <cfRule type="cellIs" dxfId="472" priority="565" operator="equal">
      <formula>"Muy Baja"</formula>
    </cfRule>
  </conditionalFormatting>
  <conditionalFormatting sqref="AC9:AC14">
    <cfRule type="cellIs" dxfId="471" priority="556" operator="equal">
      <formula>"Catastrófico"</formula>
    </cfRule>
    <cfRule type="cellIs" dxfId="470" priority="557" operator="equal">
      <formula>"Mayor"</formula>
    </cfRule>
    <cfRule type="cellIs" dxfId="469" priority="558" operator="equal">
      <formula>"Moderado"</formula>
    </cfRule>
    <cfRule type="cellIs" dxfId="468" priority="559" operator="equal">
      <formula>"Menor"</formula>
    </cfRule>
    <cfRule type="cellIs" dxfId="467" priority="560" operator="equal">
      <formula>"Leve"</formula>
    </cfRule>
  </conditionalFormatting>
  <conditionalFormatting sqref="AE9:AE14">
    <cfRule type="cellIs" dxfId="466" priority="552" operator="equal">
      <formula>"Extremo"</formula>
    </cfRule>
    <cfRule type="cellIs" dxfId="465" priority="553" operator="equal">
      <formula>"Alto"</formula>
    </cfRule>
    <cfRule type="cellIs" dxfId="464" priority="554" operator="equal">
      <formula>"Moderado"</formula>
    </cfRule>
    <cfRule type="cellIs" dxfId="463" priority="555" operator="equal">
      <formula>"Bajo"</formula>
    </cfRule>
  </conditionalFormatting>
  <conditionalFormatting sqref="J57">
    <cfRule type="cellIs" dxfId="462" priority="309" operator="equal">
      <formula>"Muy Alta"</formula>
    </cfRule>
    <cfRule type="cellIs" dxfId="461" priority="310" operator="equal">
      <formula>"Alta"</formula>
    </cfRule>
    <cfRule type="cellIs" dxfId="460" priority="311" operator="equal">
      <formula>"Media"</formula>
    </cfRule>
    <cfRule type="cellIs" dxfId="459" priority="312" operator="equal">
      <formula>"Baja"</formula>
    </cfRule>
    <cfRule type="cellIs" dxfId="458" priority="313" operator="equal">
      <formula>"Muy Baja"</formula>
    </cfRule>
  </conditionalFormatting>
  <conditionalFormatting sqref="P15">
    <cfRule type="cellIs" dxfId="457" priority="496" operator="equal">
      <formula>"Extremo"</formula>
    </cfRule>
    <cfRule type="cellIs" dxfId="456" priority="497" operator="equal">
      <formula>"Alto"</formula>
    </cfRule>
    <cfRule type="cellIs" dxfId="455" priority="498" operator="equal">
      <formula>"Moderado"</formula>
    </cfRule>
    <cfRule type="cellIs" dxfId="454" priority="499" operator="equal">
      <formula>"Bajo"</formula>
    </cfRule>
  </conditionalFormatting>
  <conditionalFormatting sqref="AA15:AA20">
    <cfRule type="cellIs" dxfId="453" priority="491" operator="equal">
      <formula>"Muy Alta"</formula>
    </cfRule>
    <cfRule type="cellIs" dxfId="452" priority="492" operator="equal">
      <formula>"Alta"</formula>
    </cfRule>
    <cfRule type="cellIs" dxfId="451" priority="493" operator="equal">
      <formula>"Media"</formula>
    </cfRule>
    <cfRule type="cellIs" dxfId="450" priority="494" operator="equal">
      <formula>"Baja"</formula>
    </cfRule>
    <cfRule type="cellIs" dxfId="449" priority="495" operator="equal">
      <formula>"Muy Baja"</formula>
    </cfRule>
  </conditionalFormatting>
  <conditionalFormatting sqref="AC15:AC20">
    <cfRule type="cellIs" dxfId="448" priority="486" operator="equal">
      <formula>"Catastrófico"</formula>
    </cfRule>
    <cfRule type="cellIs" dxfId="447" priority="487" operator="equal">
      <formula>"Mayor"</formula>
    </cfRule>
    <cfRule type="cellIs" dxfId="446" priority="488" operator="equal">
      <formula>"Moderado"</formula>
    </cfRule>
    <cfRule type="cellIs" dxfId="445" priority="489" operator="equal">
      <formula>"Menor"</formula>
    </cfRule>
    <cfRule type="cellIs" dxfId="444" priority="490" operator="equal">
      <formula>"Leve"</formula>
    </cfRule>
  </conditionalFormatting>
  <conditionalFormatting sqref="AE15:AE20">
    <cfRule type="cellIs" dxfId="443" priority="482" operator="equal">
      <formula>"Extremo"</formula>
    </cfRule>
    <cfRule type="cellIs" dxfId="442" priority="483" operator="equal">
      <formula>"Alto"</formula>
    </cfRule>
    <cfRule type="cellIs" dxfId="441" priority="484" operator="equal">
      <formula>"Moderado"</formula>
    </cfRule>
    <cfRule type="cellIs" dxfId="440" priority="485" operator="equal">
      <formula>"Bajo"</formula>
    </cfRule>
  </conditionalFormatting>
  <conditionalFormatting sqref="J21">
    <cfRule type="cellIs" dxfId="439" priority="477" operator="equal">
      <formula>"Muy Alta"</formula>
    </cfRule>
    <cfRule type="cellIs" dxfId="438" priority="478" operator="equal">
      <formula>"Alta"</formula>
    </cfRule>
    <cfRule type="cellIs" dxfId="437" priority="479" operator="equal">
      <formula>"Media"</formula>
    </cfRule>
    <cfRule type="cellIs" dxfId="436" priority="480" operator="equal">
      <formula>"Baja"</formula>
    </cfRule>
    <cfRule type="cellIs" dxfId="435" priority="481" operator="equal">
      <formula>"Muy Baja"</formula>
    </cfRule>
  </conditionalFormatting>
  <conditionalFormatting sqref="P21">
    <cfRule type="cellIs" dxfId="434" priority="468" operator="equal">
      <formula>"Extremo"</formula>
    </cfRule>
    <cfRule type="cellIs" dxfId="433" priority="469" operator="equal">
      <formula>"Alto"</formula>
    </cfRule>
    <cfRule type="cellIs" dxfId="432" priority="470" operator="equal">
      <formula>"Moderado"</formula>
    </cfRule>
    <cfRule type="cellIs" dxfId="431" priority="471" operator="equal">
      <formula>"Bajo"</formula>
    </cfRule>
  </conditionalFormatting>
  <conditionalFormatting sqref="AA21 AA23:AA26">
    <cfRule type="cellIs" dxfId="430" priority="463" operator="equal">
      <formula>"Muy Alta"</formula>
    </cfRule>
    <cfRule type="cellIs" dxfId="429" priority="464" operator="equal">
      <formula>"Alta"</formula>
    </cfRule>
    <cfRule type="cellIs" dxfId="428" priority="465" operator="equal">
      <formula>"Media"</formula>
    </cfRule>
    <cfRule type="cellIs" dxfId="427" priority="466" operator="equal">
      <formula>"Baja"</formula>
    </cfRule>
    <cfRule type="cellIs" dxfId="426" priority="467" operator="equal">
      <formula>"Muy Baja"</formula>
    </cfRule>
  </conditionalFormatting>
  <conditionalFormatting sqref="AC21 AC23:AC26">
    <cfRule type="cellIs" dxfId="425" priority="458" operator="equal">
      <formula>"Catastrófico"</formula>
    </cfRule>
    <cfRule type="cellIs" dxfId="424" priority="459" operator="equal">
      <formula>"Mayor"</formula>
    </cfRule>
    <cfRule type="cellIs" dxfId="423" priority="460" operator="equal">
      <formula>"Moderado"</formula>
    </cfRule>
    <cfRule type="cellIs" dxfId="422" priority="461" operator="equal">
      <formula>"Menor"</formula>
    </cfRule>
    <cfRule type="cellIs" dxfId="421" priority="462" operator="equal">
      <formula>"Leve"</formula>
    </cfRule>
  </conditionalFormatting>
  <conditionalFormatting sqref="AE21 AE23:AE26">
    <cfRule type="cellIs" dxfId="420" priority="454" operator="equal">
      <formula>"Extremo"</formula>
    </cfRule>
    <cfRule type="cellIs" dxfId="419" priority="455" operator="equal">
      <formula>"Alto"</formula>
    </cfRule>
    <cfRule type="cellIs" dxfId="418" priority="456" operator="equal">
      <formula>"Moderado"</formula>
    </cfRule>
    <cfRule type="cellIs" dxfId="417" priority="457" operator="equal">
      <formula>"Bajo"</formula>
    </cfRule>
  </conditionalFormatting>
  <conditionalFormatting sqref="J27">
    <cfRule type="cellIs" dxfId="416" priority="449" operator="equal">
      <formula>"Muy Alta"</formula>
    </cfRule>
    <cfRule type="cellIs" dxfId="415" priority="450" operator="equal">
      <formula>"Alta"</formula>
    </cfRule>
    <cfRule type="cellIs" dxfId="414" priority="451" operator="equal">
      <formula>"Media"</formula>
    </cfRule>
    <cfRule type="cellIs" dxfId="413" priority="452" operator="equal">
      <formula>"Baja"</formula>
    </cfRule>
    <cfRule type="cellIs" dxfId="412" priority="453" operator="equal">
      <formula>"Muy Baja"</formula>
    </cfRule>
  </conditionalFormatting>
  <conditionalFormatting sqref="P27">
    <cfRule type="cellIs" dxfId="411" priority="440" operator="equal">
      <formula>"Extremo"</formula>
    </cfRule>
    <cfRule type="cellIs" dxfId="410" priority="441" operator="equal">
      <formula>"Alto"</formula>
    </cfRule>
    <cfRule type="cellIs" dxfId="409" priority="442" operator="equal">
      <formula>"Moderado"</formula>
    </cfRule>
    <cfRule type="cellIs" dxfId="408" priority="443" operator="equal">
      <formula>"Bajo"</formula>
    </cfRule>
  </conditionalFormatting>
  <conditionalFormatting sqref="AA27:AA32">
    <cfRule type="cellIs" dxfId="407" priority="435" operator="equal">
      <formula>"Muy Alta"</formula>
    </cfRule>
    <cfRule type="cellIs" dxfId="406" priority="436" operator="equal">
      <formula>"Alta"</formula>
    </cfRule>
    <cfRule type="cellIs" dxfId="405" priority="437" operator="equal">
      <formula>"Media"</formula>
    </cfRule>
    <cfRule type="cellIs" dxfId="404" priority="438" operator="equal">
      <formula>"Baja"</formula>
    </cfRule>
    <cfRule type="cellIs" dxfId="403" priority="439" operator="equal">
      <formula>"Muy Baja"</formula>
    </cfRule>
  </conditionalFormatting>
  <conditionalFormatting sqref="AC27:AC32">
    <cfRule type="cellIs" dxfId="402" priority="430" operator="equal">
      <formula>"Catastrófico"</formula>
    </cfRule>
    <cfRule type="cellIs" dxfId="401" priority="431" operator="equal">
      <formula>"Mayor"</formula>
    </cfRule>
    <cfRule type="cellIs" dxfId="400" priority="432" operator="equal">
      <formula>"Moderado"</formula>
    </cfRule>
    <cfRule type="cellIs" dxfId="399" priority="433" operator="equal">
      <formula>"Menor"</formula>
    </cfRule>
    <cfRule type="cellIs" dxfId="398" priority="434" operator="equal">
      <formula>"Leve"</formula>
    </cfRule>
  </conditionalFormatting>
  <conditionalFormatting sqref="AE27:AE32">
    <cfRule type="cellIs" dxfId="397" priority="426" operator="equal">
      <formula>"Extremo"</formula>
    </cfRule>
    <cfRule type="cellIs" dxfId="396" priority="427" operator="equal">
      <formula>"Alto"</formula>
    </cfRule>
    <cfRule type="cellIs" dxfId="395" priority="428" operator="equal">
      <formula>"Moderado"</formula>
    </cfRule>
    <cfRule type="cellIs" dxfId="394" priority="429" operator="equal">
      <formula>"Bajo"</formula>
    </cfRule>
  </conditionalFormatting>
  <conditionalFormatting sqref="J33">
    <cfRule type="cellIs" dxfId="393" priority="421" operator="equal">
      <formula>"Muy Alta"</formula>
    </cfRule>
    <cfRule type="cellIs" dxfId="392" priority="422" operator="equal">
      <formula>"Alta"</formula>
    </cfRule>
    <cfRule type="cellIs" dxfId="391" priority="423" operator="equal">
      <formula>"Media"</formula>
    </cfRule>
    <cfRule type="cellIs" dxfId="390" priority="424" operator="equal">
      <formula>"Baja"</formula>
    </cfRule>
    <cfRule type="cellIs" dxfId="389" priority="425" operator="equal">
      <formula>"Muy Baja"</formula>
    </cfRule>
  </conditionalFormatting>
  <conditionalFormatting sqref="P33">
    <cfRule type="cellIs" dxfId="388" priority="412" operator="equal">
      <formula>"Extremo"</formula>
    </cfRule>
    <cfRule type="cellIs" dxfId="387" priority="413" operator="equal">
      <formula>"Alto"</formula>
    </cfRule>
    <cfRule type="cellIs" dxfId="386" priority="414" operator="equal">
      <formula>"Moderado"</formula>
    </cfRule>
    <cfRule type="cellIs" dxfId="385" priority="415" operator="equal">
      <formula>"Bajo"</formula>
    </cfRule>
  </conditionalFormatting>
  <conditionalFormatting sqref="AA33:AA38">
    <cfRule type="cellIs" dxfId="384" priority="407" operator="equal">
      <formula>"Muy Alta"</formula>
    </cfRule>
    <cfRule type="cellIs" dxfId="383" priority="408" operator="equal">
      <formula>"Alta"</formula>
    </cfRule>
    <cfRule type="cellIs" dxfId="382" priority="409" operator="equal">
      <formula>"Media"</formula>
    </cfRule>
    <cfRule type="cellIs" dxfId="381" priority="410" operator="equal">
      <formula>"Baja"</formula>
    </cfRule>
    <cfRule type="cellIs" dxfId="380" priority="411" operator="equal">
      <formula>"Muy Baja"</formula>
    </cfRule>
  </conditionalFormatting>
  <conditionalFormatting sqref="AC33:AC38">
    <cfRule type="cellIs" dxfId="379" priority="402" operator="equal">
      <formula>"Catastrófico"</formula>
    </cfRule>
    <cfRule type="cellIs" dxfId="378" priority="403" operator="equal">
      <formula>"Mayor"</formula>
    </cfRule>
    <cfRule type="cellIs" dxfId="377" priority="404" operator="equal">
      <formula>"Moderado"</formula>
    </cfRule>
    <cfRule type="cellIs" dxfId="376" priority="405" operator="equal">
      <formula>"Menor"</formula>
    </cfRule>
    <cfRule type="cellIs" dxfId="375" priority="406" operator="equal">
      <formula>"Leve"</formula>
    </cfRule>
  </conditionalFormatting>
  <conditionalFormatting sqref="AE33:AE38">
    <cfRule type="cellIs" dxfId="374" priority="398" operator="equal">
      <formula>"Extremo"</formula>
    </cfRule>
    <cfRule type="cellIs" dxfId="373" priority="399" operator="equal">
      <formula>"Alto"</formula>
    </cfRule>
    <cfRule type="cellIs" dxfId="372" priority="400" operator="equal">
      <formula>"Moderado"</formula>
    </cfRule>
    <cfRule type="cellIs" dxfId="371" priority="401" operator="equal">
      <formula>"Bajo"</formula>
    </cfRule>
  </conditionalFormatting>
  <conditionalFormatting sqref="J39">
    <cfRule type="cellIs" dxfId="370" priority="393" operator="equal">
      <formula>"Muy Alta"</formula>
    </cfRule>
    <cfRule type="cellIs" dxfId="369" priority="394" operator="equal">
      <formula>"Alta"</formula>
    </cfRule>
    <cfRule type="cellIs" dxfId="368" priority="395" operator="equal">
      <formula>"Media"</formula>
    </cfRule>
    <cfRule type="cellIs" dxfId="367" priority="396" operator="equal">
      <formula>"Baja"</formula>
    </cfRule>
    <cfRule type="cellIs" dxfId="366" priority="397" operator="equal">
      <formula>"Muy Baja"</formula>
    </cfRule>
  </conditionalFormatting>
  <conditionalFormatting sqref="P39">
    <cfRule type="cellIs" dxfId="365" priority="384" operator="equal">
      <formula>"Extremo"</formula>
    </cfRule>
    <cfRule type="cellIs" dxfId="364" priority="385" operator="equal">
      <formula>"Alto"</formula>
    </cfRule>
    <cfRule type="cellIs" dxfId="363" priority="386" operator="equal">
      <formula>"Moderado"</formula>
    </cfRule>
    <cfRule type="cellIs" dxfId="362" priority="387" operator="equal">
      <formula>"Bajo"</formula>
    </cfRule>
  </conditionalFormatting>
  <conditionalFormatting sqref="AA39:AA44">
    <cfRule type="cellIs" dxfId="361" priority="379" operator="equal">
      <formula>"Muy Alta"</formula>
    </cfRule>
    <cfRule type="cellIs" dxfId="360" priority="380" operator="equal">
      <formula>"Alta"</formula>
    </cfRule>
    <cfRule type="cellIs" dxfId="359" priority="381" operator="equal">
      <formula>"Media"</formula>
    </cfRule>
    <cfRule type="cellIs" dxfId="358" priority="382" operator="equal">
      <formula>"Baja"</formula>
    </cfRule>
    <cfRule type="cellIs" dxfId="357" priority="383" operator="equal">
      <formula>"Muy Baja"</formula>
    </cfRule>
  </conditionalFormatting>
  <conditionalFormatting sqref="AC39:AC44">
    <cfRule type="cellIs" dxfId="356" priority="374" operator="equal">
      <formula>"Catastrófico"</formula>
    </cfRule>
    <cfRule type="cellIs" dxfId="355" priority="375" operator="equal">
      <formula>"Mayor"</formula>
    </cfRule>
    <cfRule type="cellIs" dxfId="354" priority="376" operator="equal">
      <formula>"Moderado"</formula>
    </cfRule>
    <cfRule type="cellIs" dxfId="353" priority="377" operator="equal">
      <formula>"Menor"</formula>
    </cfRule>
    <cfRule type="cellIs" dxfId="352" priority="378" operator="equal">
      <formula>"Leve"</formula>
    </cfRule>
  </conditionalFormatting>
  <conditionalFormatting sqref="AE39:AE44">
    <cfRule type="cellIs" dxfId="351" priority="370" operator="equal">
      <formula>"Extremo"</formula>
    </cfRule>
    <cfRule type="cellIs" dxfId="350" priority="371" operator="equal">
      <formula>"Alto"</formula>
    </cfRule>
    <cfRule type="cellIs" dxfId="349" priority="372" operator="equal">
      <formula>"Moderado"</formula>
    </cfRule>
    <cfRule type="cellIs" dxfId="348" priority="373" operator="equal">
      <formula>"Bajo"</formula>
    </cfRule>
  </conditionalFormatting>
  <conditionalFormatting sqref="J45">
    <cfRule type="cellIs" dxfId="347" priority="365" operator="equal">
      <formula>"Muy Alta"</formula>
    </cfRule>
    <cfRule type="cellIs" dxfId="346" priority="366" operator="equal">
      <formula>"Alta"</formula>
    </cfRule>
    <cfRule type="cellIs" dxfId="345" priority="367" operator="equal">
      <formula>"Media"</formula>
    </cfRule>
    <cfRule type="cellIs" dxfId="344" priority="368" operator="equal">
      <formula>"Baja"</formula>
    </cfRule>
    <cfRule type="cellIs" dxfId="343" priority="369" operator="equal">
      <formula>"Muy Baja"</formula>
    </cfRule>
  </conditionalFormatting>
  <conditionalFormatting sqref="P45">
    <cfRule type="cellIs" dxfId="342" priority="356" operator="equal">
      <formula>"Extremo"</formula>
    </cfRule>
    <cfRule type="cellIs" dxfId="341" priority="357" operator="equal">
      <formula>"Alto"</formula>
    </cfRule>
    <cfRule type="cellIs" dxfId="340" priority="358" operator="equal">
      <formula>"Moderado"</formula>
    </cfRule>
    <cfRule type="cellIs" dxfId="339" priority="359" operator="equal">
      <formula>"Bajo"</formula>
    </cfRule>
  </conditionalFormatting>
  <conditionalFormatting sqref="AA45:AA50">
    <cfRule type="cellIs" dxfId="338" priority="351" operator="equal">
      <formula>"Muy Alta"</formula>
    </cfRule>
    <cfRule type="cellIs" dxfId="337" priority="352" operator="equal">
      <formula>"Alta"</formula>
    </cfRule>
    <cfRule type="cellIs" dxfId="336" priority="353" operator="equal">
      <formula>"Media"</formula>
    </cfRule>
    <cfRule type="cellIs" dxfId="335" priority="354" operator="equal">
      <formula>"Baja"</formula>
    </cfRule>
    <cfRule type="cellIs" dxfId="334" priority="355" operator="equal">
      <formula>"Muy Baja"</formula>
    </cfRule>
  </conditionalFormatting>
  <conditionalFormatting sqref="AC45:AC50">
    <cfRule type="cellIs" dxfId="333" priority="346" operator="equal">
      <formula>"Catastrófico"</formula>
    </cfRule>
    <cfRule type="cellIs" dxfId="332" priority="347" operator="equal">
      <formula>"Mayor"</formula>
    </cfRule>
    <cfRule type="cellIs" dxfId="331" priority="348" operator="equal">
      <formula>"Moderado"</formula>
    </cfRule>
    <cfRule type="cellIs" dxfId="330" priority="349" operator="equal">
      <formula>"Menor"</formula>
    </cfRule>
    <cfRule type="cellIs" dxfId="329" priority="350" operator="equal">
      <formula>"Leve"</formula>
    </cfRule>
  </conditionalFormatting>
  <conditionalFormatting sqref="AE45:AE50">
    <cfRule type="cellIs" dxfId="328" priority="342" operator="equal">
      <formula>"Extremo"</formula>
    </cfRule>
    <cfRule type="cellIs" dxfId="327" priority="343" operator="equal">
      <formula>"Alto"</formula>
    </cfRule>
    <cfRule type="cellIs" dxfId="326" priority="344" operator="equal">
      <formula>"Moderado"</formula>
    </cfRule>
    <cfRule type="cellIs" dxfId="325" priority="345" operator="equal">
      <formula>"Bajo"</formula>
    </cfRule>
  </conditionalFormatting>
  <conditionalFormatting sqref="J51">
    <cfRule type="cellIs" dxfId="324" priority="337" operator="equal">
      <formula>"Muy Alta"</formula>
    </cfRule>
    <cfRule type="cellIs" dxfId="323" priority="338" operator="equal">
      <formula>"Alta"</formula>
    </cfRule>
    <cfRule type="cellIs" dxfId="322" priority="339" operator="equal">
      <formula>"Media"</formula>
    </cfRule>
    <cfRule type="cellIs" dxfId="321" priority="340" operator="equal">
      <formula>"Baja"</formula>
    </cfRule>
    <cfRule type="cellIs" dxfId="320" priority="341" operator="equal">
      <formula>"Muy Baja"</formula>
    </cfRule>
  </conditionalFormatting>
  <conditionalFormatting sqref="P51">
    <cfRule type="cellIs" dxfId="319" priority="328" operator="equal">
      <formula>"Extremo"</formula>
    </cfRule>
    <cfRule type="cellIs" dxfId="318" priority="329" operator="equal">
      <formula>"Alto"</formula>
    </cfRule>
    <cfRule type="cellIs" dxfId="317" priority="330" operator="equal">
      <formula>"Moderado"</formula>
    </cfRule>
    <cfRule type="cellIs" dxfId="316" priority="331" operator="equal">
      <formula>"Bajo"</formula>
    </cfRule>
  </conditionalFormatting>
  <conditionalFormatting sqref="AA51:AA56">
    <cfRule type="cellIs" dxfId="315" priority="323" operator="equal">
      <formula>"Muy Alta"</formula>
    </cfRule>
    <cfRule type="cellIs" dxfId="314" priority="324" operator="equal">
      <formula>"Alta"</formula>
    </cfRule>
    <cfRule type="cellIs" dxfId="313" priority="325" operator="equal">
      <formula>"Media"</formula>
    </cfRule>
    <cfRule type="cellIs" dxfId="312" priority="326" operator="equal">
      <formula>"Baja"</formula>
    </cfRule>
    <cfRule type="cellIs" dxfId="311" priority="327" operator="equal">
      <formula>"Muy Baja"</formula>
    </cfRule>
  </conditionalFormatting>
  <conditionalFormatting sqref="AC51:AC56">
    <cfRule type="cellIs" dxfId="310" priority="318" operator="equal">
      <formula>"Catastrófico"</formula>
    </cfRule>
    <cfRule type="cellIs" dxfId="309" priority="319" operator="equal">
      <formula>"Mayor"</formula>
    </cfRule>
    <cfRule type="cellIs" dxfId="308" priority="320" operator="equal">
      <formula>"Moderado"</formula>
    </cfRule>
    <cfRule type="cellIs" dxfId="307" priority="321" operator="equal">
      <formula>"Menor"</formula>
    </cfRule>
    <cfRule type="cellIs" dxfId="306" priority="322" operator="equal">
      <formula>"Leve"</formula>
    </cfRule>
  </conditionalFormatting>
  <conditionalFormatting sqref="AE51:AE56">
    <cfRule type="cellIs" dxfId="305" priority="314" operator="equal">
      <formula>"Extremo"</formula>
    </cfRule>
    <cfRule type="cellIs" dxfId="304" priority="315" operator="equal">
      <formula>"Alto"</formula>
    </cfRule>
    <cfRule type="cellIs" dxfId="303" priority="316" operator="equal">
      <formula>"Moderado"</formula>
    </cfRule>
    <cfRule type="cellIs" dxfId="302" priority="317" operator="equal">
      <formula>"Bajo"</formula>
    </cfRule>
  </conditionalFormatting>
  <conditionalFormatting sqref="P57">
    <cfRule type="cellIs" dxfId="301" priority="300" operator="equal">
      <formula>"Extremo"</formula>
    </cfRule>
    <cfRule type="cellIs" dxfId="300" priority="301" operator="equal">
      <formula>"Alto"</formula>
    </cfRule>
    <cfRule type="cellIs" dxfId="299" priority="302" operator="equal">
      <formula>"Moderado"</formula>
    </cfRule>
    <cfRule type="cellIs" dxfId="298" priority="303" operator="equal">
      <formula>"Bajo"</formula>
    </cfRule>
  </conditionalFormatting>
  <conditionalFormatting sqref="AA57:AA62">
    <cfRule type="cellIs" dxfId="297" priority="295" operator="equal">
      <formula>"Muy Alta"</formula>
    </cfRule>
    <cfRule type="cellIs" dxfId="296" priority="296" operator="equal">
      <formula>"Alta"</formula>
    </cfRule>
    <cfRule type="cellIs" dxfId="295" priority="297" operator="equal">
      <formula>"Media"</formula>
    </cfRule>
    <cfRule type="cellIs" dxfId="294" priority="298" operator="equal">
      <formula>"Baja"</formula>
    </cfRule>
    <cfRule type="cellIs" dxfId="293" priority="299" operator="equal">
      <formula>"Muy Baja"</formula>
    </cfRule>
  </conditionalFormatting>
  <conditionalFormatting sqref="AC57:AC62">
    <cfRule type="cellIs" dxfId="292" priority="290" operator="equal">
      <formula>"Catastrófico"</formula>
    </cfRule>
    <cfRule type="cellIs" dxfId="291" priority="291" operator="equal">
      <formula>"Mayor"</formula>
    </cfRule>
    <cfRule type="cellIs" dxfId="290" priority="292" operator="equal">
      <formula>"Moderado"</formula>
    </cfRule>
    <cfRule type="cellIs" dxfId="289" priority="293" operator="equal">
      <formula>"Menor"</formula>
    </cfRule>
    <cfRule type="cellIs" dxfId="288" priority="294" operator="equal">
      <formula>"Leve"</formula>
    </cfRule>
  </conditionalFormatting>
  <conditionalFormatting sqref="AE57:AE62">
    <cfRule type="cellIs" dxfId="287" priority="286" operator="equal">
      <formula>"Extremo"</formula>
    </cfRule>
    <cfRule type="cellIs" dxfId="286" priority="287" operator="equal">
      <formula>"Alto"</formula>
    </cfRule>
    <cfRule type="cellIs" dxfId="285" priority="288" operator="equal">
      <formula>"Moderado"</formula>
    </cfRule>
    <cfRule type="cellIs" dxfId="284" priority="289" operator="equal">
      <formula>"Bajo"</formula>
    </cfRule>
  </conditionalFormatting>
  <conditionalFormatting sqref="J63">
    <cfRule type="cellIs" dxfId="283" priority="281" operator="equal">
      <formula>"Muy Alta"</formula>
    </cfRule>
    <cfRule type="cellIs" dxfId="282" priority="282" operator="equal">
      <formula>"Alta"</formula>
    </cfRule>
    <cfRule type="cellIs" dxfId="281" priority="283" operator="equal">
      <formula>"Media"</formula>
    </cfRule>
    <cfRule type="cellIs" dxfId="280" priority="284" operator="equal">
      <formula>"Baja"</formula>
    </cfRule>
    <cfRule type="cellIs" dxfId="279" priority="285" operator="equal">
      <formula>"Muy Baja"</formula>
    </cfRule>
  </conditionalFormatting>
  <conditionalFormatting sqref="P63">
    <cfRule type="cellIs" dxfId="278" priority="272" operator="equal">
      <formula>"Extremo"</formula>
    </cfRule>
    <cfRule type="cellIs" dxfId="277" priority="273" operator="equal">
      <formula>"Alto"</formula>
    </cfRule>
    <cfRule type="cellIs" dxfId="276" priority="274" operator="equal">
      <formula>"Moderado"</formula>
    </cfRule>
    <cfRule type="cellIs" dxfId="275" priority="275" operator="equal">
      <formula>"Bajo"</formula>
    </cfRule>
  </conditionalFormatting>
  <conditionalFormatting sqref="AA63:AA68">
    <cfRule type="cellIs" dxfId="274" priority="267" operator="equal">
      <formula>"Muy Alta"</formula>
    </cfRule>
    <cfRule type="cellIs" dxfId="273" priority="268" operator="equal">
      <formula>"Alta"</formula>
    </cfRule>
    <cfRule type="cellIs" dxfId="272" priority="269" operator="equal">
      <formula>"Media"</formula>
    </cfRule>
    <cfRule type="cellIs" dxfId="271" priority="270" operator="equal">
      <formula>"Baja"</formula>
    </cfRule>
    <cfRule type="cellIs" dxfId="270" priority="271" operator="equal">
      <formula>"Muy Baja"</formula>
    </cfRule>
  </conditionalFormatting>
  <conditionalFormatting sqref="AC63:AC68">
    <cfRule type="cellIs" dxfId="269" priority="262" operator="equal">
      <formula>"Catastrófico"</formula>
    </cfRule>
    <cfRule type="cellIs" dxfId="268" priority="263" operator="equal">
      <formula>"Mayor"</formula>
    </cfRule>
    <cfRule type="cellIs" dxfId="267" priority="264" operator="equal">
      <formula>"Moderado"</formula>
    </cfRule>
    <cfRule type="cellIs" dxfId="266" priority="265" operator="equal">
      <formula>"Menor"</formula>
    </cfRule>
    <cfRule type="cellIs" dxfId="265" priority="266" operator="equal">
      <formula>"Leve"</formula>
    </cfRule>
  </conditionalFormatting>
  <conditionalFormatting sqref="AE63:AE68">
    <cfRule type="cellIs" dxfId="264" priority="258" operator="equal">
      <formula>"Extremo"</formula>
    </cfRule>
    <cfRule type="cellIs" dxfId="263" priority="259" operator="equal">
      <formula>"Alto"</formula>
    </cfRule>
    <cfRule type="cellIs" dxfId="262" priority="260" operator="equal">
      <formula>"Moderado"</formula>
    </cfRule>
    <cfRule type="cellIs" dxfId="261" priority="261" operator="equal">
      <formula>"Bajo"</formula>
    </cfRule>
  </conditionalFormatting>
  <conditionalFormatting sqref="M15:M68">
    <cfRule type="containsText" dxfId="260" priority="257" operator="containsText" text="❌">
      <formula>NOT(ISERROR(SEARCH("❌",M15)))</formula>
    </cfRule>
  </conditionalFormatting>
  <conditionalFormatting sqref="J69 J75">
    <cfRule type="cellIs" dxfId="259" priority="252" operator="equal">
      <formula>"Muy Alta"</formula>
    </cfRule>
    <cfRule type="cellIs" dxfId="258" priority="253" operator="equal">
      <formula>"Alta"</formula>
    </cfRule>
    <cfRule type="cellIs" dxfId="257" priority="254" operator="equal">
      <formula>"Media"</formula>
    </cfRule>
    <cfRule type="cellIs" dxfId="256" priority="255" operator="equal">
      <formula>"Baja"</formula>
    </cfRule>
    <cfRule type="cellIs" dxfId="255" priority="256" operator="equal">
      <formula>"Muy Baja"</formula>
    </cfRule>
  </conditionalFormatting>
  <conditionalFormatting sqref="N69 N75 N81 N87 N93 N99 N105 N111 N117 N123">
    <cfRule type="cellIs" dxfId="254" priority="247" operator="equal">
      <formula>"Catastrófico"</formula>
    </cfRule>
    <cfRule type="cellIs" dxfId="253" priority="248" operator="equal">
      <formula>"Mayor"</formula>
    </cfRule>
    <cfRule type="cellIs" dxfId="252" priority="249" operator="equal">
      <formula>"Moderado"</formula>
    </cfRule>
    <cfRule type="cellIs" dxfId="251" priority="250" operator="equal">
      <formula>"Menor"</formula>
    </cfRule>
    <cfRule type="cellIs" dxfId="250" priority="251" operator="equal">
      <formula>"Leve"</formula>
    </cfRule>
  </conditionalFormatting>
  <conditionalFormatting sqref="P69">
    <cfRule type="cellIs" dxfId="249" priority="243" operator="equal">
      <formula>"Extremo"</formula>
    </cfRule>
    <cfRule type="cellIs" dxfId="248" priority="244" operator="equal">
      <formula>"Alto"</formula>
    </cfRule>
    <cfRule type="cellIs" dxfId="247" priority="245" operator="equal">
      <formula>"Moderado"</formula>
    </cfRule>
    <cfRule type="cellIs" dxfId="246" priority="246" operator="equal">
      <formula>"Bajo"</formula>
    </cfRule>
  </conditionalFormatting>
  <conditionalFormatting sqref="AA69:AA74">
    <cfRule type="cellIs" dxfId="245" priority="238" operator="equal">
      <formula>"Muy Alta"</formula>
    </cfRule>
    <cfRule type="cellIs" dxfId="244" priority="239" operator="equal">
      <formula>"Alta"</formula>
    </cfRule>
    <cfRule type="cellIs" dxfId="243" priority="240" operator="equal">
      <formula>"Media"</formula>
    </cfRule>
    <cfRule type="cellIs" dxfId="242" priority="241" operator="equal">
      <formula>"Baja"</formula>
    </cfRule>
    <cfRule type="cellIs" dxfId="241" priority="242" operator="equal">
      <formula>"Muy Baja"</formula>
    </cfRule>
  </conditionalFormatting>
  <conditionalFormatting sqref="AC69:AC74">
    <cfRule type="cellIs" dxfId="240" priority="233" operator="equal">
      <formula>"Catastrófico"</formula>
    </cfRule>
    <cfRule type="cellIs" dxfId="239" priority="234" operator="equal">
      <formula>"Mayor"</formula>
    </cfRule>
    <cfRule type="cellIs" dxfId="238" priority="235" operator="equal">
      <formula>"Moderado"</formula>
    </cfRule>
    <cfRule type="cellIs" dxfId="237" priority="236" operator="equal">
      <formula>"Menor"</formula>
    </cfRule>
    <cfRule type="cellIs" dxfId="236" priority="237" operator="equal">
      <formula>"Leve"</formula>
    </cfRule>
  </conditionalFormatting>
  <conditionalFormatting sqref="AE69:AE74">
    <cfRule type="cellIs" dxfId="235" priority="229" operator="equal">
      <formula>"Extremo"</formula>
    </cfRule>
    <cfRule type="cellIs" dxfId="234" priority="230" operator="equal">
      <formula>"Alto"</formula>
    </cfRule>
    <cfRule type="cellIs" dxfId="233" priority="231" operator="equal">
      <formula>"Moderado"</formula>
    </cfRule>
    <cfRule type="cellIs" dxfId="232" priority="232" operator="equal">
      <formula>"Bajo"</formula>
    </cfRule>
  </conditionalFormatting>
  <conditionalFormatting sqref="J117">
    <cfRule type="cellIs" dxfId="231" priority="68" operator="equal">
      <formula>"Muy Alta"</formula>
    </cfRule>
    <cfRule type="cellIs" dxfId="230" priority="69" operator="equal">
      <formula>"Alta"</formula>
    </cfRule>
    <cfRule type="cellIs" dxfId="229" priority="70" operator="equal">
      <formula>"Media"</formula>
    </cfRule>
    <cfRule type="cellIs" dxfId="228" priority="71" operator="equal">
      <formula>"Baja"</formula>
    </cfRule>
    <cfRule type="cellIs" dxfId="227" priority="72" operator="equal">
      <formula>"Muy Baja"</formula>
    </cfRule>
  </conditionalFormatting>
  <conditionalFormatting sqref="P75">
    <cfRule type="cellIs" dxfId="226" priority="225" operator="equal">
      <formula>"Extremo"</formula>
    </cfRule>
    <cfRule type="cellIs" dxfId="225" priority="226" operator="equal">
      <formula>"Alto"</formula>
    </cfRule>
    <cfRule type="cellIs" dxfId="224" priority="227" operator="equal">
      <formula>"Moderado"</formula>
    </cfRule>
    <cfRule type="cellIs" dxfId="223" priority="228" operator="equal">
      <formula>"Bajo"</formula>
    </cfRule>
  </conditionalFormatting>
  <conditionalFormatting sqref="AA75:AA80">
    <cfRule type="cellIs" dxfId="222" priority="220" operator="equal">
      <formula>"Muy Alta"</formula>
    </cfRule>
    <cfRule type="cellIs" dxfId="221" priority="221" operator="equal">
      <formula>"Alta"</formula>
    </cfRule>
    <cfRule type="cellIs" dxfId="220" priority="222" operator="equal">
      <formula>"Media"</formula>
    </cfRule>
    <cfRule type="cellIs" dxfId="219" priority="223" operator="equal">
      <formula>"Baja"</formula>
    </cfRule>
    <cfRule type="cellIs" dxfId="218" priority="224" operator="equal">
      <formula>"Muy Baja"</formula>
    </cfRule>
  </conditionalFormatting>
  <conditionalFormatting sqref="AC75:AC80">
    <cfRule type="cellIs" dxfId="217" priority="215" operator="equal">
      <formula>"Catastrófico"</formula>
    </cfRule>
    <cfRule type="cellIs" dxfId="216" priority="216" operator="equal">
      <formula>"Mayor"</formula>
    </cfRule>
    <cfRule type="cellIs" dxfId="215" priority="217" operator="equal">
      <formula>"Moderado"</formula>
    </cfRule>
    <cfRule type="cellIs" dxfId="214" priority="218" operator="equal">
      <formula>"Menor"</formula>
    </cfRule>
    <cfRule type="cellIs" dxfId="213" priority="219" operator="equal">
      <formula>"Leve"</formula>
    </cfRule>
  </conditionalFormatting>
  <conditionalFormatting sqref="AE75:AE80">
    <cfRule type="cellIs" dxfId="212" priority="211" operator="equal">
      <formula>"Extremo"</formula>
    </cfRule>
    <cfRule type="cellIs" dxfId="211" priority="212" operator="equal">
      <formula>"Alto"</formula>
    </cfRule>
    <cfRule type="cellIs" dxfId="210" priority="213" operator="equal">
      <formula>"Moderado"</formula>
    </cfRule>
    <cfRule type="cellIs" dxfId="209" priority="214" operator="equal">
      <formula>"Bajo"</formula>
    </cfRule>
  </conditionalFormatting>
  <conditionalFormatting sqref="J81">
    <cfRule type="cellIs" dxfId="208" priority="206" operator="equal">
      <formula>"Muy Alta"</formula>
    </cfRule>
    <cfRule type="cellIs" dxfId="207" priority="207" operator="equal">
      <formula>"Alta"</formula>
    </cfRule>
    <cfRule type="cellIs" dxfId="206" priority="208" operator="equal">
      <formula>"Media"</formula>
    </cfRule>
    <cfRule type="cellIs" dxfId="205" priority="209" operator="equal">
      <formula>"Baja"</formula>
    </cfRule>
    <cfRule type="cellIs" dxfId="204" priority="210" operator="equal">
      <formula>"Muy Baja"</formula>
    </cfRule>
  </conditionalFormatting>
  <conditionalFormatting sqref="P81">
    <cfRule type="cellIs" dxfId="203" priority="202" operator="equal">
      <formula>"Extremo"</formula>
    </cfRule>
    <cfRule type="cellIs" dxfId="202" priority="203" operator="equal">
      <formula>"Alto"</formula>
    </cfRule>
    <cfRule type="cellIs" dxfId="201" priority="204" operator="equal">
      <formula>"Moderado"</formula>
    </cfRule>
    <cfRule type="cellIs" dxfId="200" priority="205" operator="equal">
      <formula>"Bajo"</formula>
    </cfRule>
  </conditionalFormatting>
  <conditionalFormatting sqref="AA81:AA86">
    <cfRule type="cellIs" dxfId="199" priority="197" operator="equal">
      <formula>"Muy Alta"</formula>
    </cfRule>
    <cfRule type="cellIs" dxfId="198" priority="198" operator="equal">
      <formula>"Alta"</formula>
    </cfRule>
    <cfRule type="cellIs" dxfId="197" priority="199" operator="equal">
      <formula>"Media"</formula>
    </cfRule>
    <cfRule type="cellIs" dxfId="196" priority="200" operator="equal">
      <formula>"Baja"</formula>
    </cfRule>
    <cfRule type="cellIs" dxfId="195" priority="201" operator="equal">
      <formula>"Muy Baja"</formula>
    </cfRule>
  </conditionalFormatting>
  <conditionalFormatting sqref="AC81:AC86">
    <cfRule type="cellIs" dxfId="194" priority="192" operator="equal">
      <formula>"Catastrófico"</formula>
    </cfRule>
    <cfRule type="cellIs" dxfId="193" priority="193" operator="equal">
      <formula>"Mayor"</formula>
    </cfRule>
    <cfRule type="cellIs" dxfId="192" priority="194" operator="equal">
      <formula>"Moderado"</formula>
    </cfRule>
    <cfRule type="cellIs" dxfId="191" priority="195" operator="equal">
      <formula>"Menor"</formula>
    </cfRule>
    <cfRule type="cellIs" dxfId="190" priority="196" operator="equal">
      <formula>"Leve"</formula>
    </cfRule>
  </conditionalFormatting>
  <conditionalFormatting sqref="AE81:AE86">
    <cfRule type="cellIs" dxfId="189" priority="188" operator="equal">
      <formula>"Extremo"</formula>
    </cfRule>
    <cfRule type="cellIs" dxfId="188" priority="189" operator="equal">
      <formula>"Alto"</formula>
    </cfRule>
    <cfRule type="cellIs" dxfId="187" priority="190" operator="equal">
      <formula>"Moderado"</formula>
    </cfRule>
    <cfRule type="cellIs" dxfId="186" priority="191" operator="equal">
      <formula>"Bajo"</formula>
    </cfRule>
  </conditionalFormatting>
  <conditionalFormatting sqref="J87">
    <cfRule type="cellIs" dxfId="185" priority="183" operator="equal">
      <formula>"Muy Alta"</formula>
    </cfRule>
    <cfRule type="cellIs" dxfId="184" priority="184" operator="equal">
      <formula>"Alta"</formula>
    </cfRule>
    <cfRule type="cellIs" dxfId="183" priority="185" operator="equal">
      <formula>"Media"</formula>
    </cfRule>
    <cfRule type="cellIs" dxfId="182" priority="186" operator="equal">
      <formula>"Baja"</formula>
    </cfRule>
    <cfRule type="cellIs" dxfId="181" priority="187" operator="equal">
      <formula>"Muy Baja"</formula>
    </cfRule>
  </conditionalFormatting>
  <conditionalFormatting sqref="P87">
    <cfRule type="cellIs" dxfId="180" priority="179" operator="equal">
      <formula>"Extremo"</formula>
    </cfRule>
    <cfRule type="cellIs" dxfId="179" priority="180" operator="equal">
      <formula>"Alto"</formula>
    </cfRule>
    <cfRule type="cellIs" dxfId="178" priority="181" operator="equal">
      <formula>"Moderado"</formula>
    </cfRule>
    <cfRule type="cellIs" dxfId="177" priority="182" operator="equal">
      <formula>"Bajo"</formula>
    </cfRule>
  </conditionalFormatting>
  <conditionalFormatting sqref="AA87:AA92">
    <cfRule type="cellIs" dxfId="176" priority="174" operator="equal">
      <formula>"Muy Alta"</formula>
    </cfRule>
    <cfRule type="cellIs" dxfId="175" priority="175" operator="equal">
      <formula>"Alta"</formula>
    </cfRule>
    <cfRule type="cellIs" dxfId="174" priority="176" operator="equal">
      <formula>"Media"</formula>
    </cfRule>
    <cfRule type="cellIs" dxfId="173" priority="177" operator="equal">
      <formula>"Baja"</formula>
    </cfRule>
    <cfRule type="cellIs" dxfId="172" priority="178" operator="equal">
      <formula>"Muy Baja"</formula>
    </cfRule>
  </conditionalFormatting>
  <conditionalFormatting sqref="AC87:AC92">
    <cfRule type="cellIs" dxfId="171" priority="169" operator="equal">
      <formula>"Catastrófico"</formula>
    </cfRule>
    <cfRule type="cellIs" dxfId="170" priority="170" operator="equal">
      <formula>"Mayor"</formula>
    </cfRule>
    <cfRule type="cellIs" dxfId="169" priority="171" operator="equal">
      <formula>"Moderado"</formula>
    </cfRule>
    <cfRule type="cellIs" dxfId="168" priority="172" operator="equal">
      <formula>"Menor"</formula>
    </cfRule>
    <cfRule type="cellIs" dxfId="167" priority="173" operator="equal">
      <formula>"Leve"</formula>
    </cfRule>
  </conditionalFormatting>
  <conditionalFormatting sqref="AE87:AE92">
    <cfRule type="cellIs" dxfId="166" priority="165" operator="equal">
      <formula>"Extremo"</formula>
    </cfRule>
    <cfRule type="cellIs" dxfId="165" priority="166" operator="equal">
      <formula>"Alto"</formula>
    </cfRule>
    <cfRule type="cellIs" dxfId="164" priority="167" operator="equal">
      <formula>"Moderado"</formula>
    </cfRule>
    <cfRule type="cellIs" dxfId="163" priority="168" operator="equal">
      <formula>"Bajo"</formula>
    </cfRule>
  </conditionalFormatting>
  <conditionalFormatting sqref="J93">
    <cfRule type="cellIs" dxfId="162" priority="160" operator="equal">
      <formula>"Muy Alta"</formula>
    </cfRule>
    <cfRule type="cellIs" dxfId="161" priority="161" operator="equal">
      <formula>"Alta"</formula>
    </cfRule>
    <cfRule type="cellIs" dxfId="160" priority="162" operator="equal">
      <formula>"Media"</formula>
    </cfRule>
    <cfRule type="cellIs" dxfId="159" priority="163" operator="equal">
      <formula>"Baja"</formula>
    </cfRule>
    <cfRule type="cellIs" dxfId="158" priority="164" operator="equal">
      <formula>"Muy Baja"</formula>
    </cfRule>
  </conditionalFormatting>
  <conditionalFormatting sqref="P93">
    <cfRule type="cellIs" dxfId="157" priority="156" operator="equal">
      <formula>"Extremo"</formula>
    </cfRule>
    <cfRule type="cellIs" dxfId="156" priority="157" operator="equal">
      <formula>"Alto"</formula>
    </cfRule>
    <cfRule type="cellIs" dxfId="155" priority="158" operator="equal">
      <formula>"Moderado"</formula>
    </cfRule>
    <cfRule type="cellIs" dxfId="154" priority="159" operator="equal">
      <formula>"Bajo"</formula>
    </cfRule>
  </conditionalFormatting>
  <conditionalFormatting sqref="AA93:AA98">
    <cfRule type="cellIs" dxfId="153" priority="151" operator="equal">
      <formula>"Muy Alta"</formula>
    </cfRule>
    <cfRule type="cellIs" dxfId="152" priority="152" operator="equal">
      <formula>"Alta"</formula>
    </cfRule>
    <cfRule type="cellIs" dxfId="151" priority="153" operator="equal">
      <formula>"Media"</formula>
    </cfRule>
    <cfRule type="cellIs" dxfId="150" priority="154" operator="equal">
      <formula>"Baja"</formula>
    </cfRule>
    <cfRule type="cellIs" dxfId="149" priority="155" operator="equal">
      <formula>"Muy Baja"</formula>
    </cfRule>
  </conditionalFormatting>
  <conditionalFormatting sqref="AC93:AC98">
    <cfRule type="cellIs" dxfId="148" priority="146" operator="equal">
      <formula>"Catastrófico"</formula>
    </cfRule>
    <cfRule type="cellIs" dxfId="147" priority="147" operator="equal">
      <formula>"Mayor"</formula>
    </cfRule>
    <cfRule type="cellIs" dxfId="146" priority="148" operator="equal">
      <formula>"Moderado"</formula>
    </cfRule>
    <cfRule type="cellIs" dxfId="145" priority="149" operator="equal">
      <formula>"Menor"</formula>
    </cfRule>
    <cfRule type="cellIs" dxfId="144" priority="150" operator="equal">
      <formula>"Leve"</formula>
    </cfRule>
  </conditionalFormatting>
  <conditionalFormatting sqref="AE93:AE98">
    <cfRule type="cellIs" dxfId="143" priority="142" operator="equal">
      <formula>"Extremo"</formula>
    </cfRule>
    <cfRule type="cellIs" dxfId="142" priority="143" operator="equal">
      <formula>"Alto"</formula>
    </cfRule>
    <cfRule type="cellIs" dxfId="141" priority="144" operator="equal">
      <formula>"Moderado"</formula>
    </cfRule>
    <cfRule type="cellIs" dxfId="140" priority="145" operator="equal">
      <formula>"Bajo"</formula>
    </cfRule>
  </conditionalFormatting>
  <conditionalFormatting sqref="J99">
    <cfRule type="cellIs" dxfId="139" priority="137" operator="equal">
      <formula>"Muy Alta"</formula>
    </cfRule>
    <cfRule type="cellIs" dxfId="138" priority="138" operator="equal">
      <formula>"Alta"</formula>
    </cfRule>
    <cfRule type="cellIs" dxfId="137" priority="139" operator="equal">
      <formula>"Media"</formula>
    </cfRule>
    <cfRule type="cellIs" dxfId="136" priority="140" operator="equal">
      <formula>"Baja"</formula>
    </cfRule>
    <cfRule type="cellIs" dxfId="135" priority="141" operator="equal">
      <formula>"Muy Baja"</formula>
    </cfRule>
  </conditionalFormatting>
  <conditionalFormatting sqref="P99">
    <cfRule type="cellIs" dxfId="134" priority="133" operator="equal">
      <formula>"Extremo"</formula>
    </cfRule>
    <cfRule type="cellIs" dxfId="133" priority="134" operator="equal">
      <formula>"Alto"</formula>
    </cfRule>
    <cfRule type="cellIs" dxfId="132" priority="135" operator="equal">
      <formula>"Moderado"</formula>
    </cfRule>
    <cfRule type="cellIs" dxfId="131" priority="136" operator="equal">
      <formula>"Bajo"</formula>
    </cfRule>
  </conditionalFormatting>
  <conditionalFormatting sqref="AA99:AA104">
    <cfRule type="cellIs" dxfId="130" priority="128" operator="equal">
      <formula>"Muy Alta"</formula>
    </cfRule>
    <cfRule type="cellIs" dxfId="129" priority="129" operator="equal">
      <formula>"Alta"</formula>
    </cfRule>
    <cfRule type="cellIs" dxfId="128" priority="130" operator="equal">
      <formula>"Media"</formula>
    </cfRule>
    <cfRule type="cellIs" dxfId="127" priority="131" operator="equal">
      <formula>"Baja"</formula>
    </cfRule>
    <cfRule type="cellIs" dxfId="126" priority="132" operator="equal">
      <formula>"Muy Baja"</formula>
    </cfRule>
  </conditionalFormatting>
  <conditionalFormatting sqref="AC99:AC104">
    <cfRule type="cellIs" dxfId="125" priority="123" operator="equal">
      <formula>"Catastrófico"</formula>
    </cfRule>
    <cfRule type="cellIs" dxfId="124" priority="124" operator="equal">
      <formula>"Mayor"</formula>
    </cfRule>
    <cfRule type="cellIs" dxfId="123" priority="125" operator="equal">
      <formula>"Moderado"</formula>
    </cfRule>
    <cfRule type="cellIs" dxfId="122" priority="126" operator="equal">
      <formula>"Menor"</formula>
    </cfRule>
    <cfRule type="cellIs" dxfId="121" priority="127" operator="equal">
      <formula>"Leve"</formula>
    </cfRule>
  </conditionalFormatting>
  <conditionalFormatting sqref="AE99:AE104">
    <cfRule type="cellIs" dxfId="120" priority="119" operator="equal">
      <formula>"Extremo"</formula>
    </cfRule>
    <cfRule type="cellIs" dxfId="119" priority="120" operator="equal">
      <formula>"Alto"</formula>
    </cfRule>
    <cfRule type="cellIs" dxfId="118" priority="121" operator="equal">
      <formula>"Moderado"</formula>
    </cfRule>
    <cfRule type="cellIs" dxfId="117" priority="122" operator="equal">
      <formula>"Bajo"</formula>
    </cfRule>
  </conditionalFormatting>
  <conditionalFormatting sqref="J105">
    <cfRule type="cellIs" dxfId="116" priority="114" operator="equal">
      <formula>"Muy Alta"</formula>
    </cfRule>
    <cfRule type="cellIs" dxfId="115" priority="115" operator="equal">
      <formula>"Alta"</formula>
    </cfRule>
    <cfRule type="cellIs" dxfId="114" priority="116" operator="equal">
      <formula>"Media"</formula>
    </cfRule>
    <cfRule type="cellIs" dxfId="113" priority="117" operator="equal">
      <formula>"Baja"</formula>
    </cfRule>
    <cfRule type="cellIs" dxfId="112" priority="118" operator="equal">
      <formula>"Muy Baja"</formula>
    </cfRule>
  </conditionalFormatting>
  <conditionalFormatting sqref="P105">
    <cfRule type="cellIs" dxfId="111" priority="110" operator="equal">
      <formula>"Extremo"</formula>
    </cfRule>
    <cfRule type="cellIs" dxfId="110" priority="111" operator="equal">
      <formula>"Alto"</formula>
    </cfRule>
    <cfRule type="cellIs" dxfId="109" priority="112" operator="equal">
      <formula>"Moderado"</formula>
    </cfRule>
    <cfRule type="cellIs" dxfId="108" priority="113" operator="equal">
      <formula>"Bajo"</formula>
    </cfRule>
  </conditionalFormatting>
  <conditionalFormatting sqref="AA105:AA110">
    <cfRule type="cellIs" dxfId="107" priority="105" operator="equal">
      <formula>"Muy Alta"</formula>
    </cfRule>
    <cfRule type="cellIs" dxfId="106" priority="106" operator="equal">
      <formula>"Alta"</formula>
    </cfRule>
    <cfRule type="cellIs" dxfId="105" priority="107" operator="equal">
      <formula>"Media"</formula>
    </cfRule>
    <cfRule type="cellIs" dxfId="104" priority="108" operator="equal">
      <formula>"Baja"</formula>
    </cfRule>
    <cfRule type="cellIs" dxfId="103" priority="109" operator="equal">
      <formula>"Muy Baja"</formula>
    </cfRule>
  </conditionalFormatting>
  <conditionalFormatting sqref="AC105:AC110">
    <cfRule type="cellIs" dxfId="102" priority="100" operator="equal">
      <formula>"Catastrófico"</formula>
    </cfRule>
    <cfRule type="cellIs" dxfId="101" priority="101" operator="equal">
      <formula>"Mayor"</formula>
    </cfRule>
    <cfRule type="cellIs" dxfId="100" priority="102" operator="equal">
      <formula>"Moderado"</formula>
    </cfRule>
    <cfRule type="cellIs" dxfId="99" priority="103" operator="equal">
      <formula>"Menor"</formula>
    </cfRule>
    <cfRule type="cellIs" dxfId="98" priority="104" operator="equal">
      <formula>"Leve"</formula>
    </cfRule>
  </conditionalFormatting>
  <conditionalFormatting sqref="AE105:AE110">
    <cfRule type="cellIs" dxfId="97" priority="96" operator="equal">
      <formula>"Extremo"</formula>
    </cfRule>
    <cfRule type="cellIs" dxfId="96" priority="97" operator="equal">
      <formula>"Alto"</formula>
    </cfRule>
    <cfRule type="cellIs" dxfId="95" priority="98" operator="equal">
      <formula>"Moderado"</formula>
    </cfRule>
    <cfRule type="cellIs" dxfId="94" priority="99" operator="equal">
      <formula>"Bajo"</formula>
    </cfRule>
  </conditionalFormatting>
  <conditionalFormatting sqref="J111">
    <cfRule type="cellIs" dxfId="93" priority="91" operator="equal">
      <formula>"Muy Alta"</formula>
    </cfRule>
    <cfRule type="cellIs" dxfId="92" priority="92" operator="equal">
      <formula>"Alta"</formula>
    </cfRule>
    <cfRule type="cellIs" dxfId="91" priority="93" operator="equal">
      <formula>"Media"</formula>
    </cfRule>
    <cfRule type="cellIs" dxfId="90" priority="94" operator="equal">
      <formula>"Baja"</formula>
    </cfRule>
    <cfRule type="cellIs" dxfId="89" priority="95" operator="equal">
      <formula>"Muy Baja"</formula>
    </cfRule>
  </conditionalFormatting>
  <conditionalFormatting sqref="P111">
    <cfRule type="cellIs" dxfId="88" priority="87" operator="equal">
      <formula>"Extremo"</formula>
    </cfRule>
    <cfRule type="cellIs" dxfId="87" priority="88" operator="equal">
      <formula>"Alto"</formula>
    </cfRule>
    <cfRule type="cellIs" dxfId="86" priority="89" operator="equal">
      <formula>"Moderado"</formula>
    </cfRule>
    <cfRule type="cellIs" dxfId="85" priority="90" operator="equal">
      <formula>"Bajo"</formula>
    </cfRule>
  </conditionalFormatting>
  <conditionalFormatting sqref="AA111:AA116">
    <cfRule type="cellIs" dxfId="84" priority="82" operator="equal">
      <formula>"Muy Alta"</formula>
    </cfRule>
    <cfRule type="cellIs" dxfId="83" priority="83" operator="equal">
      <formula>"Alta"</formula>
    </cfRule>
    <cfRule type="cellIs" dxfId="82" priority="84" operator="equal">
      <formula>"Media"</formula>
    </cfRule>
    <cfRule type="cellIs" dxfId="81" priority="85" operator="equal">
      <formula>"Baja"</formula>
    </cfRule>
    <cfRule type="cellIs" dxfId="80" priority="86" operator="equal">
      <formula>"Muy Baja"</formula>
    </cfRule>
  </conditionalFormatting>
  <conditionalFormatting sqref="AC111:AC116">
    <cfRule type="cellIs" dxfId="79" priority="77" operator="equal">
      <formula>"Catastrófico"</formula>
    </cfRule>
    <cfRule type="cellIs" dxfId="78" priority="78" operator="equal">
      <formula>"Mayor"</formula>
    </cfRule>
    <cfRule type="cellIs" dxfId="77" priority="79" operator="equal">
      <formula>"Moderado"</formula>
    </cfRule>
    <cfRule type="cellIs" dxfId="76" priority="80" operator="equal">
      <formula>"Menor"</formula>
    </cfRule>
    <cfRule type="cellIs" dxfId="75" priority="81" operator="equal">
      <formula>"Leve"</formula>
    </cfRule>
  </conditionalFormatting>
  <conditionalFormatting sqref="AE111:AE116">
    <cfRule type="cellIs" dxfId="74" priority="73" operator="equal">
      <formula>"Extremo"</formula>
    </cfRule>
    <cfRule type="cellIs" dxfId="73" priority="74" operator="equal">
      <formula>"Alto"</formula>
    </cfRule>
    <cfRule type="cellIs" dxfId="72" priority="75" operator="equal">
      <formula>"Moderado"</formula>
    </cfRule>
    <cfRule type="cellIs" dxfId="71" priority="76" operator="equal">
      <formula>"Bajo"</formula>
    </cfRule>
  </conditionalFormatting>
  <conditionalFormatting sqref="P117">
    <cfRule type="cellIs" dxfId="70" priority="64" operator="equal">
      <formula>"Extremo"</formula>
    </cfRule>
    <cfRule type="cellIs" dxfId="69" priority="65" operator="equal">
      <formula>"Alto"</formula>
    </cfRule>
    <cfRule type="cellIs" dxfId="68" priority="66" operator="equal">
      <formula>"Moderado"</formula>
    </cfRule>
    <cfRule type="cellIs" dxfId="67" priority="67" operator="equal">
      <formula>"Bajo"</formula>
    </cfRule>
  </conditionalFormatting>
  <conditionalFormatting sqref="AA117:AA122">
    <cfRule type="cellIs" dxfId="66" priority="59" operator="equal">
      <formula>"Muy Alta"</formula>
    </cfRule>
    <cfRule type="cellIs" dxfId="65" priority="60" operator="equal">
      <formula>"Alta"</formula>
    </cfRule>
    <cfRule type="cellIs" dxfId="64" priority="61" operator="equal">
      <formula>"Media"</formula>
    </cfRule>
    <cfRule type="cellIs" dxfId="63" priority="62" operator="equal">
      <formula>"Baja"</formula>
    </cfRule>
    <cfRule type="cellIs" dxfId="62" priority="63" operator="equal">
      <formula>"Muy Baja"</formula>
    </cfRule>
  </conditionalFormatting>
  <conditionalFormatting sqref="AC117:AC122">
    <cfRule type="cellIs" dxfId="61" priority="54" operator="equal">
      <formula>"Catastrófico"</formula>
    </cfRule>
    <cfRule type="cellIs" dxfId="60" priority="55" operator="equal">
      <formula>"Mayor"</formula>
    </cfRule>
    <cfRule type="cellIs" dxfId="59" priority="56" operator="equal">
      <formula>"Moderado"</formula>
    </cfRule>
    <cfRule type="cellIs" dxfId="58" priority="57" operator="equal">
      <formula>"Menor"</formula>
    </cfRule>
    <cfRule type="cellIs" dxfId="57" priority="58" operator="equal">
      <formula>"Leve"</formula>
    </cfRule>
  </conditionalFormatting>
  <conditionalFormatting sqref="AE117:AE122">
    <cfRule type="cellIs" dxfId="56" priority="50" operator="equal">
      <formula>"Extremo"</formula>
    </cfRule>
    <cfRule type="cellIs" dxfId="55" priority="51" operator="equal">
      <formula>"Alto"</formula>
    </cfRule>
    <cfRule type="cellIs" dxfId="54" priority="52" operator="equal">
      <formula>"Moderado"</formula>
    </cfRule>
    <cfRule type="cellIs" dxfId="53" priority="53" operator="equal">
      <formula>"Bajo"</formula>
    </cfRule>
  </conditionalFormatting>
  <conditionalFormatting sqref="J123">
    <cfRule type="cellIs" dxfId="52" priority="45" operator="equal">
      <formula>"Muy Alta"</formula>
    </cfRule>
    <cfRule type="cellIs" dxfId="51" priority="46" operator="equal">
      <formula>"Alta"</formula>
    </cfRule>
    <cfRule type="cellIs" dxfId="50" priority="47" operator="equal">
      <formula>"Media"</formula>
    </cfRule>
    <cfRule type="cellIs" dxfId="49" priority="48" operator="equal">
      <formula>"Baja"</formula>
    </cfRule>
    <cfRule type="cellIs" dxfId="48" priority="49" operator="equal">
      <formula>"Muy Baja"</formula>
    </cfRule>
  </conditionalFormatting>
  <conditionalFormatting sqref="P123">
    <cfRule type="cellIs" dxfId="47" priority="41" operator="equal">
      <formula>"Extremo"</formula>
    </cfRule>
    <cfRule type="cellIs" dxfId="46" priority="42" operator="equal">
      <formula>"Alto"</formula>
    </cfRule>
    <cfRule type="cellIs" dxfId="45" priority="43" operator="equal">
      <formula>"Moderado"</formula>
    </cfRule>
    <cfRule type="cellIs" dxfId="44" priority="44" operator="equal">
      <formula>"Bajo"</formula>
    </cfRule>
  </conditionalFormatting>
  <conditionalFormatting sqref="AA123:AA128">
    <cfRule type="cellIs" dxfId="43" priority="36" operator="equal">
      <formula>"Muy Alta"</formula>
    </cfRule>
    <cfRule type="cellIs" dxfId="42" priority="37" operator="equal">
      <formula>"Alta"</formula>
    </cfRule>
    <cfRule type="cellIs" dxfId="41" priority="38" operator="equal">
      <formula>"Media"</formula>
    </cfRule>
    <cfRule type="cellIs" dxfId="40" priority="39" operator="equal">
      <formula>"Baja"</formula>
    </cfRule>
    <cfRule type="cellIs" dxfId="39" priority="40" operator="equal">
      <formula>"Muy Baja"</formula>
    </cfRule>
  </conditionalFormatting>
  <conditionalFormatting sqref="AC123:AC128">
    <cfRule type="cellIs" dxfId="38" priority="31" operator="equal">
      <formula>"Catastrófico"</formula>
    </cfRule>
    <cfRule type="cellIs" dxfId="37" priority="32" operator="equal">
      <formula>"Mayor"</formula>
    </cfRule>
    <cfRule type="cellIs" dxfId="36" priority="33" operator="equal">
      <formula>"Moderado"</formula>
    </cfRule>
    <cfRule type="cellIs" dxfId="35" priority="34" operator="equal">
      <formula>"Menor"</formula>
    </cfRule>
    <cfRule type="cellIs" dxfId="34" priority="35" operator="equal">
      <formula>"Leve"</formula>
    </cfRule>
  </conditionalFormatting>
  <conditionalFormatting sqref="AE123:AE128">
    <cfRule type="cellIs" dxfId="33" priority="27" operator="equal">
      <formula>"Extremo"</formula>
    </cfRule>
    <cfRule type="cellIs" dxfId="32" priority="28" operator="equal">
      <formula>"Alto"</formula>
    </cfRule>
    <cfRule type="cellIs" dxfId="31" priority="29" operator="equal">
      <formula>"Moderado"</formula>
    </cfRule>
    <cfRule type="cellIs" dxfId="30" priority="30" operator="equal">
      <formula>"Bajo"</formula>
    </cfRule>
  </conditionalFormatting>
  <conditionalFormatting sqref="M69:M128">
    <cfRule type="containsText" dxfId="29" priority="26" operator="containsText" text="❌">
      <formula>NOT(ISERROR(SEARCH("❌",M69)))</formula>
    </cfRule>
  </conditionalFormatting>
  <conditionalFormatting sqref="J9">
    <cfRule type="cellIs" dxfId="28" priority="21" operator="equal">
      <formula>"Muy Alta"</formula>
    </cfRule>
    <cfRule type="cellIs" dxfId="27" priority="22" operator="equal">
      <formula>"Alta"</formula>
    </cfRule>
    <cfRule type="cellIs" dxfId="26" priority="23" operator="equal">
      <formula>"Media"</formula>
    </cfRule>
    <cfRule type="cellIs" dxfId="25" priority="24" operator="equal">
      <formula>"Baja"</formula>
    </cfRule>
    <cfRule type="cellIs" dxfId="24" priority="25" operator="equal">
      <formula>"Muy Baja"</formula>
    </cfRule>
  </conditionalFormatting>
  <conditionalFormatting sqref="N9">
    <cfRule type="cellIs" dxfId="23" priority="16" operator="equal">
      <formula>"Catastrófico"</formula>
    </cfRule>
    <cfRule type="cellIs" dxfId="22" priority="17" operator="equal">
      <formula>"Mayor"</formula>
    </cfRule>
    <cfRule type="cellIs" dxfId="21" priority="18" operator="equal">
      <formula>"Moderado"</formula>
    </cfRule>
    <cfRule type="cellIs" dxfId="20" priority="19" operator="equal">
      <formula>"Menor"</formula>
    </cfRule>
    <cfRule type="cellIs" dxfId="19" priority="20" operator="equal">
      <formula>"Leve"</formula>
    </cfRule>
  </conditionalFormatting>
  <conditionalFormatting sqref="M9:M14">
    <cfRule type="containsText" dxfId="18" priority="15" operator="containsText" text="❌">
      <formula>NOT(ISERROR(SEARCH("❌",M9)))</formula>
    </cfRule>
  </conditionalFormatting>
  <conditionalFormatting sqref="AA22">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C22">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E22">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dataValidations count="8">
    <dataValidation type="list" allowBlank="1" showInputMessage="1" showErrorMessage="1" sqref="L130">
      <formula1>"Insignificante, Menor, Moderado, Mayor, Crítico"</formula1>
    </dataValidation>
    <dataValidation type="list" allowBlank="1" showInputMessage="1" showErrorMessage="1" sqref="S130">
      <formula1>"Preventivo, Detectivo, Correctivo"</formula1>
    </dataValidation>
    <dataValidation type="list" allowBlank="1" showInputMessage="1" showErrorMessage="1" sqref="T130">
      <formula1>"Autómatico, Manual"</formula1>
    </dataValidation>
    <dataValidation type="list" allowBlank="1" showInputMessage="1" showErrorMessage="1" sqref="V130">
      <formula1>"Documentado, Sin documentar"</formula1>
    </dataValidation>
    <dataValidation type="list" allowBlank="1" showInputMessage="1" showErrorMessage="1" sqref="W130">
      <formula1>"Continua, Aleatoria "</formula1>
    </dataValidation>
    <dataValidation type="list" allowBlank="1" showInputMessage="1" showErrorMessage="1" sqref="X130">
      <formula1>"Con resgistro, Sin registro"</formula1>
    </dataValidation>
    <dataValidation type="list" allowBlank="1" showInputMessage="1" showErrorMessage="1" sqref="G9:G1048576 G6">
      <formula1>"Estratégicos, Imagen, Operativos, Financieros,Cumplimiento,Tecnológicos, Fraude, Corrupción, Imparcialidad, Confidencialidad, Seguridad de la información "</formula1>
    </dataValidation>
    <dataValidation type="list" allowBlank="1" showInputMessage="1" showErrorMessage="1" sqref="H6 H9:H27 H33 H39:H1048576">
      <formula1>"Positivo (Oportunidad) , Negativo (Amenaza)"</formula1>
    </dataValidation>
  </dataValidations>
  <pageMargins left="0.7" right="0.7" top="0.75" bottom="0.75" header="0.3" footer="0.3"/>
  <pageSetup orientation="portrait" r:id="rId1"/>
  <ignoredErrors>
    <ignoredError sqref="AD11" 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'Tabla Valoración controles'!$D$4:$D$6</xm:f>
          </x14:formula1>
          <xm:sqref>T9:T128</xm:sqref>
        </x14:dataValidation>
        <x14:dataValidation type="list" allowBlank="1" showInputMessage="1" showErrorMessage="1">
          <x14:formula1>
            <xm:f>'Tabla Valoración controles'!$D$7:$D$8</xm:f>
          </x14:formula1>
          <xm:sqref>U9:U128</xm:sqref>
        </x14:dataValidation>
        <x14:dataValidation type="list" allowBlank="1" showInputMessage="1" showErrorMessage="1">
          <x14:formula1>
            <xm:f>'Tabla Valoración controles'!$D$9:$D$10</xm:f>
          </x14:formula1>
          <xm:sqref>W9:W128</xm:sqref>
        </x14:dataValidation>
        <x14:dataValidation type="list" allowBlank="1" showInputMessage="1" showErrorMessage="1">
          <x14:formula1>
            <xm:f>'Tabla Valoración controles'!$D$11:$D$12</xm:f>
          </x14:formula1>
          <xm:sqref>X9:X128</xm:sqref>
        </x14:dataValidation>
        <x14:dataValidation type="list" allowBlank="1" showInputMessage="1" showErrorMessage="1">
          <x14:formula1>
            <xm:f>'Opciones Tratamiento'!$B$9:$B$10</xm:f>
          </x14:formula1>
          <xm:sqref>AL9:AL10 AL12:AL13 AL15:AL19 AL21:AL22 AL24:AL25 AL27:AL31 AL126:AL127 AL36:AL37 AL39:AL40 AL42:AL43 AL45:AL46 AL48:AL49 AL51:AL52 AL54:AL55 AL57:AL58 AL60:AL61 AL63:AL64 AL66:AL67 AL69:AL70 AL72:AL73 AL75:AL76 AL78:AL79 AL81:AL82 AL84:AL85 AL87:AL88 AL90:AL91 AL93:AL94 AL96:AL97 AL99:AL100 AL102:AL103 AL105:AL106 AL108:AL109 AL111:AL112 AL114:AL115 AL117:AL118 AL120:AL121 AL123:AL124 AL33:AL34</xm:sqref>
        </x14:dataValidation>
        <x14:dataValidation type="list" allowBlank="1" showInputMessage="1" showErrorMessage="1">
          <x14:formula1>
            <xm:f>'Tabla Valoración controles'!$D$13:$D$14</xm:f>
          </x14:formula1>
          <xm:sqref>Y9:Y128</xm:sqref>
        </x14:dataValidation>
        <x14:dataValidation type="list" allowBlank="1" showInputMessage="1" showErrorMessage="1">
          <x14:formula1>
            <xm:f>'Opciones Tratamiento'!$B$2:$B$5</xm:f>
          </x14:formula1>
          <xm:sqref>AF9:AF128</xm:sqref>
        </x14:dataValidation>
        <x14:dataValidation type="list" allowBlank="1" showInputMessage="1" showErrorMessage="1">
          <x14:formula1>
            <xm:f>'Tabla Impacto'!$F$210:$F$221</xm:f>
          </x14:formula1>
          <xm:sqref>L9:L128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AG9:AG128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AH9:AH128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AI9:AI128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AJ9:AJ128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AK9:AK128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U140"/>
  <sheetViews>
    <sheetView topLeftCell="A4" zoomScale="50" zoomScaleNormal="50" workbookViewId="0">
      <selection activeCell="P32" sqref="P32:U37"/>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21" t="s">
        <v>154</v>
      </c>
      <c r="C2" s="321"/>
      <c r="D2" s="321"/>
      <c r="E2" s="321"/>
      <c r="F2" s="321"/>
      <c r="G2" s="321"/>
      <c r="H2" s="321"/>
      <c r="I2" s="321"/>
      <c r="J2" s="288" t="s">
        <v>2</v>
      </c>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21"/>
      <c r="C3" s="321"/>
      <c r="D3" s="321"/>
      <c r="E3" s="321"/>
      <c r="F3" s="321"/>
      <c r="G3" s="321"/>
      <c r="H3" s="321"/>
      <c r="I3" s="321"/>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21"/>
      <c r="C4" s="321"/>
      <c r="D4" s="321"/>
      <c r="E4" s="321"/>
      <c r="F4" s="321"/>
      <c r="G4" s="321"/>
      <c r="H4" s="321"/>
      <c r="I4" s="321"/>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34" t="s">
        <v>3</v>
      </c>
      <c r="C6" s="234"/>
      <c r="D6" s="235"/>
      <c r="E6" s="272" t="s">
        <v>112</v>
      </c>
      <c r="F6" s="273"/>
      <c r="G6" s="273"/>
      <c r="H6" s="273"/>
      <c r="I6" s="274"/>
      <c r="J6" s="284" t="str">
        <f ca="1">IF(AND('Mapa final'!$J$9="Muy Alta",'Mapa final'!$N$9="Leve"),CONCATENATE("R",'Mapa final'!$A$9),"")</f>
        <v/>
      </c>
      <c r="K6" s="285"/>
      <c r="L6" s="285" t="str">
        <f ca="1">IF(AND('Mapa final'!$J$15="Muy Alta",'Mapa final'!$N$15="Leve"),CONCATENATE("R",'Mapa final'!$A$15),"")</f>
        <v/>
      </c>
      <c r="M6" s="285"/>
      <c r="N6" s="285" t="str">
        <f ca="1">IF(AND('Mapa final'!$J$21="Muy Alta",'Mapa final'!$N$21="Leve"),CONCATENATE("R",'Mapa final'!$A$21),"")</f>
        <v/>
      </c>
      <c r="O6" s="287"/>
      <c r="P6" s="284" t="str">
        <f ca="1">IF(AND('Mapa final'!$J$9="Muy Alta",'Mapa final'!$N$9="Menor"),CONCATENATE("R",'Mapa final'!$A$9),"")</f>
        <v/>
      </c>
      <c r="Q6" s="285"/>
      <c r="R6" s="285" t="str">
        <f ca="1">IF(AND('Mapa final'!$J$15="Muy Alta",'Mapa final'!$N$15="Menor"),CONCATENATE("R",'Mapa final'!$A$15),"")</f>
        <v/>
      </c>
      <c r="S6" s="285"/>
      <c r="T6" s="285" t="str">
        <f ca="1">IF(AND('Mapa final'!$J$21="Muy Alta",'Mapa final'!$N$21="Menor"),CONCATENATE("R",'Mapa final'!$A$21),"")</f>
        <v/>
      </c>
      <c r="U6" s="287"/>
      <c r="V6" s="284" t="str">
        <f ca="1">IF(AND('Mapa final'!$J$9="Muy Alta",'Mapa final'!$N$9="Moderado"),CONCATENATE("R",'Mapa final'!$A$9),"")</f>
        <v/>
      </c>
      <c r="W6" s="285"/>
      <c r="X6" s="285" t="str">
        <f ca="1">IF(AND('Mapa final'!$J$15="Muy Alta",'Mapa final'!$N$15="Moderado"),CONCATENATE("R",'Mapa final'!$A$15),"")</f>
        <v/>
      </c>
      <c r="Y6" s="285"/>
      <c r="Z6" s="285" t="str">
        <f ca="1">IF(AND('Mapa final'!$J$21="Muy Alta",'Mapa final'!$N$21="Moderado"),CONCATENATE("R",'Mapa final'!$A$21),"")</f>
        <v/>
      </c>
      <c r="AA6" s="287"/>
      <c r="AB6" s="284" t="str">
        <f ca="1">IF(AND('Mapa final'!$J$9="Muy Alta",'Mapa final'!$N$9="Mayor"),CONCATENATE("R",'Mapa final'!$A$9),"")</f>
        <v/>
      </c>
      <c r="AC6" s="285"/>
      <c r="AD6" s="285" t="str">
        <f ca="1">IF(AND('Mapa final'!$J$15="Muy Alta",'Mapa final'!$N$15="Mayor"),CONCATENATE("R",'Mapa final'!$A$15),"")</f>
        <v/>
      </c>
      <c r="AE6" s="285"/>
      <c r="AF6" s="285" t="str">
        <f ca="1">IF(AND('Mapa final'!$J$21="Muy Alta",'Mapa final'!$N$21="Mayor"),CONCATENATE("R",'Mapa final'!$A$21),"")</f>
        <v/>
      </c>
      <c r="AG6" s="287"/>
      <c r="AH6" s="300" t="str">
        <f ca="1">IF(AND('Mapa final'!$J$9="Muy Alta",'Mapa final'!$N$9="Catastrófico"),CONCATENATE("R",'Mapa final'!$A$9),"")</f>
        <v/>
      </c>
      <c r="AI6" s="301"/>
      <c r="AJ6" s="301" t="str">
        <f ca="1">IF(AND('Mapa final'!$J$15="Muy Alta",'Mapa final'!$N$15="Catastrófico"),CONCATENATE("R",'Mapa final'!$A$15),"")</f>
        <v/>
      </c>
      <c r="AK6" s="301"/>
      <c r="AL6" s="301" t="str">
        <f ca="1">IF(AND('Mapa final'!$J$21="Muy Alta",'Mapa final'!$N$21="Catastrófico"),CONCATENATE("R",'Mapa final'!$A$21),"")</f>
        <v/>
      </c>
      <c r="AM6" s="302"/>
      <c r="AO6" s="236" t="s">
        <v>75</v>
      </c>
      <c r="AP6" s="237"/>
      <c r="AQ6" s="237"/>
      <c r="AR6" s="237"/>
      <c r="AS6" s="237"/>
      <c r="AT6" s="238"/>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34"/>
      <c r="C7" s="234"/>
      <c r="D7" s="235"/>
      <c r="E7" s="275"/>
      <c r="F7" s="276"/>
      <c r="G7" s="276"/>
      <c r="H7" s="276"/>
      <c r="I7" s="277"/>
      <c r="J7" s="286"/>
      <c r="K7" s="283"/>
      <c r="L7" s="283"/>
      <c r="M7" s="283"/>
      <c r="N7" s="283"/>
      <c r="O7" s="282"/>
      <c r="P7" s="286"/>
      <c r="Q7" s="283"/>
      <c r="R7" s="283"/>
      <c r="S7" s="283"/>
      <c r="T7" s="283"/>
      <c r="U7" s="282"/>
      <c r="V7" s="286"/>
      <c r="W7" s="283"/>
      <c r="X7" s="283"/>
      <c r="Y7" s="283"/>
      <c r="Z7" s="283"/>
      <c r="AA7" s="282"/>
      <c r="AB7" s="286"/>
      <c r="AC7" s="283"/>
      <c r="AD7" s="283"/>
      <c r="AE7" s="283"/>
      <c r="AF7" s="283"/>
      <c r="AG7" s="282"/>
      <c r="AH7" s="294"/>
      <c r="AI7" s="295"/>
      <c r="AJ7" s="295"/>
      <c r="AK7" s="295"/>
      <c r="AL7" s="295"/>
      <c r="AM7" s="296"/>
      <c r="AN7" s="70"/>
      <c r="AO7" s="239"/>
      <c r="AP7" s="240"/>
      <c r="AQ7" s="240"/>
      <c r="AR7" s="240"/>
      <c r="AS7" s="240"/>
      <c r="AT7" s="241"/>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34"/>
      <c r="C8" s="234"/>
      <c r="D8" s="235"/>
      <c r="E8" s="275"/>
      <c r="F8" s="276"/>
      <c r="G8" s="276"/>
      <c r="H8" s="276"/>
      <c r="I8" s="277"/>
      <c r="J8" s="286" t="str">
        <f ca="1">IF(AND('Mapa final'!$J$27="Muy Alta",'Mapa final'!$N$27="Leve"),CONCATENATE("R",'Mapa final'!$A$27),"")</f>
        <v/>
      </c>
      <c r="K8" s="283"/>
      <c r="L8" s="281" t="str">
        <f ca="1">IF(AND('Mapa final'!$J$33="Muy Alta",'Mapa final'!$N$33="Leve"),CONCATENATE("R",'Mapa final'!$A$33),"")</f>
        <v/>
      </c>
      <c r="M8" s="281"/>
      <c r="N8" s="281" t="str">
        <f ca="1">IF(AND('Mapa final'!$J$39="Muy Alta",'Mapa final'!$N$39="Leve"),CONCATENATE("R",'Mapa final'!$A$39),"")</f>
        <v/>
      </c>
      <c r="O8" s="282"/>
      <c r="P8" s="286" t="str">
        <f ca="1">IF(AND('Mapa final'!$J$27="Muy Alta",'Mapa final'!$N$27="Menor"),CONCATENATE("R",'Mapa final'!$A$27),"")</f>
        <v/>
      </c>
      <c r="Q8" s="283"/>
      <c r="R8" s="281" t="str">
        <f ca="1">IF(AND('Mapa final'!$J$33="Muy Alta",'Mapa final'!$N$33="Menor"),CONCATENATE("R",'Mapa final'!$A$33),"")</f>
        <v/>
      </c>
      <c r="S8" s="281"/>
      <c r="T8" s="281" t="str">
        <f ca="1">IF(AND('Mapa final'!$J$39="Muy Alta",'Mapa final'!$N$39="Menor"),CONCATENATE("R",'Mapa final'!$A$39),"")</f>
        <v/>
      </c>
      <c r="U8" s="282"/>
      <c r="V8" s="286" t="str">
        <f ca="1">IF(AND('Mapa final'!$J$27="Muy Alta",'Mapa final'!$N$27="Moderado"),CONCATENATE("R",'Mapa final'!$A$27),"")</f>
        <v/>
      </c>
      <c r="W8" s="283"/>
      <c r="X8" s="281" t="str">
        <f ca="1">IF(AND('Mapa final'!$J$33="Muy Alta",'Mapa final'!$N$33="Moderado"),CONCATENATE("R",'Mapa final'!$A$33),"")</f>
        <v/>
      </c>
      <c r="Y8" s="281"/>
      <c r="Z8" s="281" t="str">
        <f ca="1">IF(AND('Mapa final'!$J$39="Muy Alta",'Mapa final'!$N$39="Moderado"),CONCATENATE("R",'Mapa final'!$A$39),"")</f>
        <v/>
      </c>
      <c r="AA8" s="282"/>
      <c r="AB8" s="286" t="str">
        <f ca="1">IF(AND('Mapa final'!$J$27="Muy Alta",'Mapa final'!$N$27="Mayor"),CONCATENATE("R",'Mapa final'!$A$27),"")</f>
        <v/>
      </c>
      <c r="AC8" s="283"/>
      <c r="AD8" s="281" t="str">
        <f ca="1">IF(AND('Mapa final'!$J$33="Muy Alta",'Mapa final'!$N$33="Mayor"),CONCATENATE("R",'Mapa final'!$A$33),"")</f>
        <v/>
      </c>
      <c r="AE8" s="281"/>
      <c r="AF8" s="281" t="str">
        <f ca="1">IF(AND('Mapa final'!$J$39="Muy Alta",'Mapa final'!$N$39="Mayor"),CONCATENATE("R",'Mapa final'!$A$39),"")</f>
        <v/>
      </c>
      <c r="AG8" s="282"/>
      <c r="AH8" s="294" t="str">
        <f ca="1">IF(AND('Mapa final'!$J$27="Muy Alta",'Mapa final'!$N$27="Catastrófico"),CONCATENATE("R",'Mapa final'!$A$27),"")</f>
        <v/>
      </c>
      <c r="AI8" s="295"/>
      <c r="AJ8" s="295" t="str">
        <f ca="1">IF(AND('Mapa final'!$J$33="Muy Alta",'Mapa final'!$N$33="Catastrófico"),CONCATENATE("R",'Mapa final'!$A$33),"")</f>
        <v/>
      </c>
      <c r="AK8" s="295"/>
      <c r="AL8" s="295" t="str">
        <f ca="1">IF(AND('Mapa final'!$J$39="Muy Alta",'Mapa final'!$N$39="Catastrófico"),CONCATENATE("R",'Mapa final'!$A$39),"")</f>
        <v/>
      </c>
      <c r="AM8" s="296"/>
      <c r="AN8" s="70"/>
      <c r="AO8" s="239"/>
      <c r="AP8" s="240"/>
      <c r="AQ8" s="240"/>
      <c r="AR8" s="240"/>
      <c r="AS8" s="240"/>
      <c r="AT8" s="241"/>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34"/>
      <c r="C9" s="234"/>
      <c r="D9" s="235"/>
      <c r="E9" s="275"/>
      <c r="F9" s="276"/>
      <c r="G9" s="276"/>
      <c r="H9" s="276"/>
      <c r="I9" s="277"/>
      <c r="J9" s="286"/>
      <c r="K9" s="283"/>
      <c r="L9" s="281"/>
      <c r="M9" s="281"/>
      <c r="N9" s="281"/>
      <c r="O9" s="282"/>
      <c r="P9" s="286"/>
      <c r="Q9" s="283"/>
      <c r="R9" s="281"/>
      <c r="S9" s="281"/>
      <c r="T9" s="281"/>
      <c r="U9" s="282"/>
      <c r="V9" s="286"/>
      <c r="W9" s="283"/>
      <c r="X9" s="281"/>
      <c r="Y9" s="281"/>
      <c r="Z9" s="281"/>
      <c r="AA9" s="282"/>
      <c r="AB9" s="286"/>
      <c r="AC9" s="283"/>
      <c r="AD9" s="281"/>
      <c r="AE9" s="281"/>
      <c r="AF9" s="281"/>
      <c r="AG9" s="282"/>
      <c r="AH9" s="294"/>
      <c r="AI9" s="295"/>
      <c r="AJ9" s="295"/>
      <c r="AK9" s="295"/>
      <c r="AL9" s="295"/>
      <c r="AM9" s="296"/>
      <c r="AN9" s="70"/>
      <c r="AO9" s="239"/>
      <c r="AP9" s="240"/>
      <c r="AQ9" s="240"/>
      <c r="AR9" s="240"/>
      <c r="AS9" s="240"/>
      <c r="AT9" s="241"/>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34"/>
      <c r="C10" s="234"/>
      <c r="D10" s="235"/>
      <c r="E10" s="275"/>
      <c r="F10" s="276"/>
      <c r="G10" s="276"/>
      <c r="H10" s="276"/>
      <c r="I10" s="277"/>
      <c r="J10" s="286" t="str">
        <f ca="1">IF(AND('Mapa final'!$J$45="Muy Alta",'Mapa final'!$N$45="Leve"),CONCATENATE("R",'Mapa final'!$A$45),"")</f>
        <v/>
      </c>
      <c r="K10" s="283"/>
      <c r="L10" s="281" t="str">
        <f ca="1">IF(AND('Mapa final'!$J$51="Muy Alta",'Mapa final'!$N$51="Leve"),CONCATENATE("R",'Mapa final'!$A$51),"")</f>
        <v/>
      </c>
      <c r="M10" s="281"/>
      <c r="N10" s="281" t="str">
        <f ca="1">IF(AND('Mapa final'!$J$57="Muy Alta",'Mapa final'!$N$57="Leve"),CONCATENATE("R",'Mapa final'!$A$57),"")</f>
        <v/>
      </c>
      <c r="O10" s="282"/>
      <c r="P10" s="286" t="str">
        <f ca="1">IF(AND('Mapa final'!$J$45="Muy Alta",'Mapa final'!$N$45="Menor"),CONCATENATE("R",'Mapa final'!$A$45),"")</f>
        <v/>
      </c>
      <c r="Q10" s="283"/>
      <c r="R10" s="281" t="str">
        <f ca="1">IF(AND('Mapa final'!$J$51="Muy Alta",'Mapa final'!$N$51="Menor"),CONCATENATE("R",'Mapa final'!$A$51),"")</f>
        <v/>
      </c>
      <c r="S10" s="281"/>
      <c r="T10" s="281" t="str">
        <f ca="1">IF(AND('Mapa final'!$J$57="Muy Alta",'Mapa final'!$N$57="Menor"),CONCATENATE("R",'Mapa final'!$A$57),"")</f>
        <v/>
      </c>
      <c r="U10" s="282"/>
      <c r="V10" s="286" t="str">
        <f ca="1">IF(AND('Mapa final'!$J$45="Muy Alta",'Mapa final'!$N$45="Moderado"),CONCATENATE("R",'Mapa final'!$A$45),"")</f>
        <v/>
      </c>
      <c r="W10" s="283"/>
      <c r="X10" s="281" t="str">
        <f ca="1">IF(AND('Mapa final'!$J$51="Muy Alta",'Mapa final'!$N$51="Moderado"),CONCATENATE("R",'Mapa final'!$A$51),"")</f>
        <v/>
      </c>
      <c r="Y10" s="281"/>
      <c r="Z10" s="281" t="str">
        <f ca="1">IF(AND('Mapa final'!$J$57="Muy Alta",'Mapa final'!$N$57="Moderado"),CONCATENATE("R",'Mapa final'!$A$57),"")</f>
        <v/>
      </c>
      <c r="AA10" s="282"/>
      <c r="AB10" s="286" t="str">
        <f ca="1">IF(AND('Mapa final'!$J$45="Muy Alta",'Mapa final'!$N$45="Mayor"),CONCATENATE("R",'Mapa final'!$A$45),"")</f>
        <v/>
      </c>
      <c r="AC10" s="283"/>
      <c r="AD10" s="281" t="str">
        <f ca="1">IF(AND('Mapa final'!$J$51="Muy Alta",'Mapa final'!$N$51="Mayor"),CONCATENATE("R",'Mapa final'!$A$51),"")</f>
        <v/>
      </c>
      <c r="AE10" s="281"/>
      <c r="AF10" s="281" t="str">
        <f ca="1">IF(AND('Mapa final'!$J$57="Muy Alta",'Mapa final'!$N$57="Mayor"),CONCATENATE("R",'Mapa final'!$A$57),"")</f>
        <v/>
      </c>
      <c r="AG10" s="282"/>
      <c r="AH10" s="294" t="str">
        <f ca="1">IF(AND('Mapa final'!$J$45="Muy Alta",'Mapa final'!$N$45="Catastrófico"),CONCATENATE("R",'Mapa final'!$A$45),"")</f>
        <v/>
      </c>
      <c r="AI10" s="295"/>
      <c r="AJ10" s="295" t="str">
        <f ca="1">IF(AND('Mapa final'!$J$51="Muy Alta",'Mapa final'!$N$51="Catastrófico"),CONCATENATE("R",'Mapa final'!$A$51),"")</f>
        <v/>
      </c>
      <c r="AK10" s="295"/>
      <c r="AL10" s="295" t="str">
        <f ca="1">IF(AND('Mapa final'!$J$57="Muy Alta",'Mapa final'!$N$57="Catastrófico"),CONCATENATE("R",'Mapa final'!$A$57),"")</f>
        <v/>
      </c>
      <c r="AM10" s="296"/>
      <c r="AN10" s="70"/>
      <c r="AO10" s="239"/>
      <c r="AP10" s="240"/>
      <c r="AQ10" s="240"/>
      <c r="AR10" s="240"/>
      <c r="AS10" s="240"/>
      <c r="AT10" s="241"/>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34"/>
      <c r="C11" s="234"/>
      <c r="D11" s="235"/>
      <c r="E11" s="275"/>
      <c r="F11" s="276"/>
      <c r="G11" s="276"/>
      <c r="H11" s="276"/>
      <c r="I11" s="277"/>
      <c r="J11" s="286"/>
      <c r="K11" s="283"/>
      <c r="L11" s="281"/>
      <c r="M11" s="281"/>
      <c r="N11" s="281"/>
      <c r="O11" s="282"/>
      <c r="P11" s="286"/>
      <c r="Q11" s="283"/>
      <c r="R11" s="281"/>
      <c r="S11" s="281"/>
      <c r="T11" s="281"/>
      <c r="U11" s="282"/>
      <c r="V11" s="286"/>
      <c r="W11" s="283"/>
      <c r="X11" s="281"/>
      <c r="Y11" s="281"/>
      <c r="Z11" s="281"/>
      <c r="AA11" s="282"/>
      <c r="AB11" s="286"/>
      <c r="AC11" s="283"/>
      <c r="AD11" s="281"/>
      <c r="AE11" s="281"/>
      <c r="AF11" s="281"/>
      <c r="AG11" s="282"/>
      <c r="AH11" s="294"/>
      <c r="AI11" s="295"/>
      <c r="AJ11" s="295"/>
      <c r="AK11" s="295"/>
      <c r="AL11" s="295"/>
      <c r="AM11" s="296"/>
      <c r="AN11" s="70"/>
      <c r="AO11" s="239"/>
      <c r="AP11" s="240"/>
      <c r="AQ11" s="240"/>
      <c r="AR11" s="240"/>
      <c r="AS11" s="240"/>
      <c r="AT11" s="241"/>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34"/>
      <c r="C12" s="234"/>
      <c r="D12" s="235"/>
      <c r="E12" s="275"/>
      <c r="F12" s="276"/>
      <c r="G12" s="276"/>
      <c r="H12" s="276"/>
      <c r="I12" s="277"/>
      <c r="J12" s="286" t="str">
        <f ca="1">IF(AND('Mapa final'!$J$63="Muy Alta",'Mapa final'!$N$63="Leve"),CONCATENATE("R",'Mapa final'!$A$63),"")</f>
        <v/>
      </c>
      <c r="K12" s="283"/>
      <c r="L12" s="281" t="str">
        <f>IF(AND('Mapa final'!$J$70="Muy Alta",'Mapa final'!$N$70="Leve"),CONCATENATE("R",'Mapa final'!$A$70),"")</f>
        <v/>
      </c>
      <c r="M12" s="281"/>
      <c r="N12" s="281" t="str">
        <f>IF(AND('Mapa final'!$J$76="Muy Alta",'Mapa final'!$N$76="Leve"),CONCATENATE("R",'Mapa final'!$A$76),"")</f>
        <v/>
      </c>
      <c r="O12" s="282"/>
      <c r="P12" s="286" t="str">
        <f ca="1">IF(AND('Mapa final'!$J$63="Muy Alta",'Mapa final'!$N$63="Menor"),CONCATENATE("R",'Mapa final'!$A$63),"")</f>
        <v/>
      </c>
      <c r="Q12" s="283"/>
      <c r="R12" s="281" t="str">
        <f>IF(AND('Mapa final'!$J$70="Muy Alta",'Mapa final'!$N$70="Menor"),CONCATENATE("R",'Mapa final'!$A$70),"")</f>
        <v/>
      </c>
      <c r="S12" s="281"/>
      <c r="T12" s="281" t="str">
        <f>IF(AND('Mapa final'!$J$76="Muy Alta",'Mapa final'!$N$76="Menor"),CONCATENATE("R",'Mapa final'!$A$76),"")</f>
        <v/>
      </c>
      <c r="U12" s="282"/>
      <c r="V12" s="286" t="str">
        <f ca="1">IF(AND('Mapa final'!$J$63="Muy Alta",'Mapa final'!$N$63="Moderado"),CONCATENATE("R",'Mapa final'!$A$63),"")</f>
        <v/>
      </c>
      <c r="W12" s="283"/>
      <c r="X12" s="281" t="str">
        <f>IF(AND('Mapa final'!$J$70="Muy Alta",'Mapa final'!$N$70="Moderado"),CONCATENATE("R",'Mapa final'!$A$70),"")</f>
        <v/>
      </c>
      <c r="Y12" s="281"/>
      <c r="Z12" s="281" t="str">
        <f>IF(AND('Mapa final'!$J$76="Muy Alta",'Mapa final'!$N$76="Moderado"),CONCATENATE("R",'Mapa final'!$A$76),"")</f>
        <v/>
      </c>
      <c r="AA12" s="282"/>
      <c r="AB12" s="286" t="str">
        <f ca="1">IF(AND('Mapa final'!$J$63="Muy Alta",'Mapa final'!$N$63="Mayor"),CONCATENATE("R",'Mapa final'!$A$63),"")</f>
        <v/>
      </c>
      <c r="AC12" s="283"/>
      <c r="AD12" s="281" t="str">
        <f>IF(AND('Mapa final'!$J$70="Muy Alta",'Mapa final'!$N$70="Mayor"),CONCATENATE("R",'Mapa final'!$A$70),"")</f>
        <v/>
      </c>
      <c r="AE12" s="281"/>
      <c r="AF12" s="281" t="str">
        <f>IF(AND('Mapa final'!$J$76="Muy Alta",'Mapa final'!$N$76="Mayor"),CONCATENATE("R",'Mapa final'!$A$76),"")</f>
        <v/>
      </c>
      <c r="AG12" s="282"/>
      <c r="AH12" s="294" t="str">
        <f ca="1">IF(AND('Mapa final'!$J$63="Muy Alta",'Mapa final'!$N$63="Catastrófico"),CONCATENATE("R",'Mapa final'!$A$63),"")</f>
        <v/>
      </c>
      <c r="AI12" s="295"/>
      <c r="AJ12" s="295" t="str">
        <f>IF(AND('Mapa final'!$J$70="Muy Alta",'Mapa final'!$N$70="Catastrófico"),CONCATENATE("R",'Mapa final'!$A$70),"")</f>
        <v/>
      </c>
      <c r="AK12" s="295"/>
      <c r="AL12" s="295" t="str">
        <f>IF(AND('Mapa final'!$J$76="Muy Alta",'Mapa final'!$N$76="Catastrófico"),CONCATENATE("R",'Mapa final'!$A$76),"")</f>
        <v/>
      </c>
      <c r="AM12" s="296"/>
      <c r="AN12" s="70"/>
      <c r="AO12" s="239"/>
      <c r="AP12" s="240"/>
      <c r="AQ12" s="240"/>
      <c r="AR12" s="240"/>
      <c r="AS12" s="240"/>
      <c r="AT12" s="241"/>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34"/>
      <c r="C13" s="234"/>
      <c r="D13" s="235"/>
      <c r="E13" s="278"/>
      <c r="F13" s="279"/>
      <c r="G13" s="279"/>
      <c r="H13" s="279"/>
      <c r="I13" s="280"/>
      <c r="J13" s="286"/>
      <c r="K13" s="283"/>
      <c r="L13" s="283"/>
      <c r="M13" s="283"/>
      <c r="N13" s="283"/>
      <c r="O13" s="282"/>
      <c r="P13" s="286"/>
      <c r="Q13" s="283"/>
      <c r="R13" s="283"/>
      <c r="S13" s="283"/>
      <c r="T13" s="283"/>
      <c r="U13" s="282"/>
      <c r="V13" s="286"/>
      <c r="W13" s="283"/>
      <c r="X13" s="283"/>
      <c r="Y13" s="283"/>
      <c r="Z13" s="283"/>
      <c r="AA13" s="282"/>
      <c r="AB13" s="286"/>
      <c r="AC13" s="283"/>
      <c r="AD13" s="283"/>
      <c r="AE13" s="283"/>
      <c r="AF13" s="283"/>
      <c r="AG13" s="282"/>
      <c r="AH13" s="297"/>
      <c r="AI13" s="298"/>
      <c r="AJ13" s="298"/>
      <c r="AK13" s="298"/>
      <c r="AL13" s="298"/>
      <c r="AM13" s="299"/>
      <c r="AN13" s="70"/>
      <c r="AO13" s="242"/>
      <c r="AP13" s="243"/>
      <c r="AQ13" s="243"/>
      <c r="AR13" s="243"/>
      <c r="AS13" s="243"/>
      <c r="AT13" s="244"/>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34"/>
      <c r="C14" s="234"/>
      <c r="D14" s="235"/>
      <c r="E14" s="272" t="s">
        <v>111</v>
      </c>
      <c r="F14" s="273"/>
      <c r="G14" s="273"/>
      <c r="H14" s="273"/>
      <c r="I14" s="273"/>
      <c r="J14" s="309" t="str">
        <f ca="1">IF(AND('Mapa final'!$J$9="Alta",'Mapa final'!$N$9="Leve"),CONCATENATE("R",'Mapa final'!$A$9),"")</f>
        <v/>
      </c>
      <c r="K14" s="310"/>
      <c r="L14" s="310" t="str">
        <f ca="1">IF(AND('Mapa final'!$J$15="Alta",'Mapa final'!$N$15="Leve"),CONCATENATE("R",'Mapa final'!$A$15),"")</f>
        <v/>
      </c>
      <c r="M14" s="310"/>
      <c r="N14" s="310" t="str">
        <f ca="1">IF(AND('Mapa final'!$J$21="Alta",'Mapa final'!$N$21="Leve"),CONCATENATE("R",'Mapa final'!$A$21),"")</f>
        <v/>
      </c>
      <c r="O14" s="311"/>
      <c r="P14" s="309" t="str">
        <f ca="1">IF(AND('Mapa final'!$J$9="Alta",'Mapa final'!$N$9="Menor"),CONCATENATE("R",'Mapa final'!$A$9),"")</f>
        <v/>
      </c>
      <c r="Q14" s="310"/>
      <c r="R14" s="310" t="str">
        <f ca="1">IF(AND('Mapa final'!$J$15="Alta",'Mapa final'!$N$15="Menor"),CONCATENATE("R",'Mapa final'!$A$15),"")</f>
        <v/>
      </c>
      <c r="S14" s="310"/>
      <c r="T14" s="310" t="str">
        <f ca="1">IF(AND('Mapa final'!$J$21="Alta",'Mapa final'!$N$21="Menor"),CONCATENATE("R",'Mapa final'!$A$21),"")</f>
        <v/>
      </c>
      <c r="U14" s="311"/>
      <c r="V14" s="284" t="str">
        <f ca="1">IF(AND('Mapa final'!$J$9="Alta",'Mapa final'!$N$9="Moderado"),CONCATENATE("R",'Mapa final'!$A$9),"")</f>
        <v/>
      </c>
      <c r="W14" s="285"/>
      <c r="X14" s="285" t="str">
        <f ca="1">IF(AND('Mapa final'!$J$15="Alta",'Mapa final'!$N$15="Moderado"),CONCATENATE("R",'Mapa final'!$A$15),"")</f>
        <v/>
      </c>
      <c r="Y14" s="285"/>
      <c r="Z14" s="285" t="str">
        <f ca="1">IF(AND('Mapa final'!$J$21="Alta",'Mapa final'!$N$21="Moderado"),CONCATENATE("R",'Mapa final'!$A$21),"")</f>
        <v/>
      </c>
      <c r="AA14" s="287"/>
      <c r="AB14" s="284" t="str">
        <f ca="1">IF(AND('Mapa final'!$J$9="Alta",'Mapa final'!$N$9="Mayor"),CONCATENATE("R",'Mapa final'!$A$9),"")</f>
        <v/>
      </c>
      <c r="AC14" s="285"/>
      <c r="AD14" s="285" t="str">
        <f ca="1">IF(AND('Mapa final'!$J$15="Alta",'Mapa final'!$N$15="Mayor"),CONCATENATE("R",'Mapa final'!$A$15),"")</f>
        <v/>
      </c>
      <c r="AE14" s="285"/>
      <c r="AF14" s="285" t="str">
        <f ca="1">IF(AND('Mapa final'!$J$21="Alta",'Mapa final'!$N$21="Mayor"),CONCATENATE("R",'Mapa final'!$A$21),"")</f>
        <v/>
      </c>
      <c r="AG14" s="287"/>
      <c r="AH14" s="300" t="str">
        <f ca="1">IF(AND('Mapa final'!$J$9="Alta",'Mapa final'!$N$9="Catastrófico"),CONCATENATE("R",'Mapa final'!$A$9),"")</f>
        <v/>
      </c>
      <c r="AI14" s="301"/>
      <c r="AJ14" s="301" t="str">
        <f ca="1">IF(AND('Mapa final'!$J$15="Alta",'Mapa final'!$N$15="Catastrófico"),CONCATENATE("R",'Mapa final'!$A$15),"")</f>
        <v/>
      </c>
      <c r="AK14" s="301"/>
      <c r="AL14" s="301" t="str">
        <f ca="1">IF(AND('Mapa final'!$J$21="Alta",'Mapa final'!$N$21="Catastrófico"),CONCATENATE("R",'Mapa final'!$A$21),"")</f>
        <v/>
      </c>
      <c r="AM14" s="302"/>
      <c r="AN14" s="70"/>
      <c r="AO14" s="245" t="s">
        <v>76</v>
      </c>
      <c r="AP14" s="246"/>
      <c r="AQ14" s="246"/>
      <c r="AR14" s="246"/>
      <c r="AS14" s="246"/>
      <c r="AT14" s="247"/>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34"/>
      <c r="C15" s="234"/>
      <c r="D15" s="235"/>
      <c r="E15" s="275"/>
      <c r="F15" s="276"/>
      <c r="G15" s="276"/>
      <c r="H15" s="276"/>
      <c r="I15" s="289"/>
      <c r="J15" s="303"/>
      <c r="K15" s="304"/>
      <c r="L15" s="304"/>
      <c r="M15" s="304"/>
      <c r="N15" s="304"/>
      <c r="O15" s="305"/>
      <c r="P15" s="303"/>
      <c r="Q15" s="304"/>
      <c r="R15" s="304"/>
      <c r="S15" s="304"/>
      <c r="T15" s="304"/>
      <c r="U15" s="305"/>
      <c r="V15" s="286"/>
      <c r="W15" s="283"/>
      <c r="X15" s="283"/>
      <c r="Y15" s="283"/>
      <c r="Z15" s="283"/>
      <c r="AA15" s="282"/>
      <c r="AB15" s="286"/>
      <c r="AC15" s="283"/>
      <c r="AD15" s="283"/>
      <c r="AE15" s="283"/>
      <c r="AF15" s="283"/>
      <c r="AG15" s="282"/>
      <c r="AH15" s="294"/>
      <c r="AI15" s="295"/>
      <c r="AJ15" s="295"/>
      <c r="AK15" s="295"/>
      <c r="AL15" s="295"/>
      <c r="AM15" s="296"/>
      <c r="AN15" s="70"/>
      <c r="AO15" s="248"/>
      <c r="AP15" s="249"/>
      <c r="AQ15" s="249"/>
      <c r="AR15" s="249"/>
      <c r="AS15" s="249"/>
      <c r="AT15" s="25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34"/>
      <c r="C16" s="234"/>
      <c r="D16" s="235"/>
      <c r="E16" s="275"/>
      <c r="F16" s="276"/>
      <c r="G16" s="276"/>
      <c r="H16" s="276"/>
      <c r="I16" s="289"/>
      <c r="J16" s="303" t="str">
        <f ca="1">IF(AND('Mapa final'!$J$27="Alta",'Mapa final'!$N$27="Leve"),CONCATENATE("R",'Mapa final'!$A$27),"")</f>
        <v/>
      </c>
      <c r="K16" s="304"/>
      <c r="L16" s="304" t="str">
        <f ca="1">IF(AND('Mapa final'!$J$33="Alta",'Mapa final'!$N$33="Leve"),CONCATENATE("R",'Mapa final'!$A$33),"")</f>
        <v/>
      </c>
      <c r="M16" s="304"/>
      <c r="N16" s="304" t="str">
        <f ca="1">IF(AND('Mapa final'!$J$39="Alta",'Mapa final'!$N$39="Leve"),CONCATENATE("R",'Mapa final'!$A$39),"")</f>
        <v/>
      </c>
      <c r="O16" s="305"/>
      <c r="P16" s="303" t="str">
        <f ca="1">IF(AND('Mapa final'!$J$27="Alta",'Mapa final'!$N$27="Menor"),CONCATENATE("R",'Mapa final'!$A$27),"")</f>
        <v/>
      </c>
      <c r="Q16" s="304"/>
      <c r="R16" s="304" t="str">
        <f ca="1">IF(AND('Mapa final'!$J$33="Alta",'Mapa final'!$N$33="Menor"),CONCATENATE("R",'Mapa final'!$A$33),"")</f>
        <v/>
      </c>
      <c r="S16" s="304"/>
      <c r="T16" s="304" t="str">
        <f ca="1">IF(AND('Mapa final'!$J$39="Alta",'Mapa final'!$N$39="Menor"),CONCATENATE("R",'Mapa final'!$A$39),"")</f>
        <v/>
      </c>
      <c r="U16" s="305"/>
      <c r="V16" s="286" t="str">
        <f ca="1">IF(AND('Mapa final'!$J$27="Alta",'Mapa final'!$N$27="Moderado"),CONCATENATE("R",'Mapa final'!$A$27),"")</f>
        <v/>
      </c>
      <c r="W16" s="283"/>
      <c r="X16" s="281" t="str">
        <f ca="1">IF(AND('Mapa final'!$J$33="Alta",'Mapa final'!$N$33="Moderado"),CONCATENATE("R",'Mapa final'!$A$33),"")</f>
        <v/>
      </c>
      <c r="Y16" s="281"/>
      <c r="Z16" s="281" t="str">
        <f ca="1">IF(AND('Mapa final'!$J$39="Alta",'Mapa final'!$N$39="Moderado"),CONCATENATE("R",'Mapa final'!$A$39),"")</f>
        <v/>
      </c>
      <c r="AA16" s="282"/>
      <c r="AB16" s="286" t="str">
        <f ca="1">IF(AND('Mapa final'!$J$27="Alta",'Mapa final'!$N$27="Mayor"),CONCATENATE("R",'Mapa final'!$A$27),"")</f>
        <v/>
      </c>
      <c r="AC16" s="283"/>
      <c r="AD16" s="281" t="str">
        <f ca="1">IF(AND('Mapa final'!$J$33="Alta",'Mapa final'!$N$33="Mayor"),CONCATENATE("R",'Mapa final'!$A$33),"")</f>
        <v/>
      </c>
      <c r="AE16" s="281"/>
      <c r="AF16" s="281" t="str">
        <f ca="1">IF(AND('Mapa final'!$J$39="Alta",'Mapa final'!$N$39="Mayor"),CONCATENATE("R",'Mapa final'!$A$39),"")</f>
        <v/>
      </c>
      <c r="AG16" s="282"/>
      <c r="AH16" s="294" t="str">
        <f ca="1">IF(AND('Mapa final'!$J$27="Alta",'Mapa final'!$N$27="Catastrófico"),CONCATENATE("R",'Mapa final'!$A$27),"")</f>
        <v/>
      </c>
      <c r="AI16" s="295"/>
      <c r="AJ16" s="295" t="str">
        <f ca="1">IF(AND('Mapa final'!$J$33="Alta",'Mapa final'!$N$33="Catastrófico"),CONCATENATE("R",'Mapa final'!$A$33),"")</f>
        <v/>
      </c>
      <c r="AK16" s="295"/>
      <c r="AL16" s="295" t="str">
        <f ca="1">IF(AND('Mapa final'!$J$39="Alta",'Mapa final'!$N$39="Catastrófico"),CONCATENATE("R",'Mapa final'!$A$39),"")</f>
        <v/>
      </c>
      <c r="AM16" s="296"/>
      <c r="AN16" s="70"/>
      <c r="AO16" s="248"/>
      <c r="AP16" s="249"/>
      <c r="AQ16" s="249"/>
      <c r="AR16" s="249"/>
      <c r="AS16" s="249"/>
      <c r="AT16" s="25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34"/>
      <c r="C17" s="234"/>
      <c r="D17" s="235"/>
      <c r="E17" s="275"/>
      <c r="F17" s="276"/>
      <c r="G17" s="276"/>
      <c r="H17" s="276"/>
      <c r="I17" s="289"/>
      <c r="J17" s="303"/>
      <c r="K17" s="304"/>
      <c r="L17" s="304"/>
      <c r="M17" s="304"/>
      <c r="N17" s="304"/>
      <c r="O17" s="305"/>
      <c r="P17" s="303"/>
      <c r="Q17" s="304"/>
      <c r="R17" s="304"/>
      <c r="S17" s="304"/>
      <c r="T17" s="304"/>
      <c r="U17" s="305"/>
      <c r="V17" s="286"/>
      <c r="W17" s="283"/>
      <c r="X17" s="281"/>
      <c r="Y17" s="281"/>
      <c r="Z17" s="281"/>
      <c r="AA17" s="282"/>
      <c r="AB17" s="286"/>
      <c r="AC17" s="283"/>
      <c r="AD17" s="281"/>
      <c r="AE17" s="281"/>
      <c r="AF17" s="281"/>
      <c r="AG17" s="282"/>
      <c r="AH17" s="294"/>
      <c r="AI17" s="295"/>
      <c r="AJ17" s="295"/>
      <c r="AK17" s="295"/>
      <c r="AL17" s="295"/>
      <c r="AM17" s="296"/>
      <c r="AN17" s="70"/>
      <c r="AO17" s="248"/>
      <c r="AP17" s="249"/>
      <c r="AQ17" s="249"/>
      <c r="AR17" s="249"/>
      <c r="AS17" s="249"/>
      <c r="AT17" s="25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34"/>
      <c r="C18" s="234"/>
      <c r="D18" s="235"/>
      <c r="E18" s="275"/>
      <c r="F18" s="276"/>
      <c r="G18" s="276"/>
      <c r="H18" s="276"/>
      <c r="I18" s="289"/>
      <c r="J18" s="303" t="str">
        <f ca="1">IF(AND('Mapa final'!$J$45="Alta",'Mapa final'!$N$45="Leve"),CONCATENATE("R",'Mapa final'!$A$45),"")</f>
        <v/>
      </c>
      <c r="K18" s="304"/>
      <c r="L18" s="304" t="str">
        <f ca="1">IF(AND('Mapa final'!$J$51="Alta",'Mapa final'!$N$51="Leve"),CONCATENATE("R",'Mapa final'!$A$51),"")</f>
        <v/>
      </c>
      <c r="M18" s="304"/>
      <c r="N18" s="304" t="str">
        <f ca="1">IF(AND('Mapa final'!$J$57="Alta",'Mapa final'!$N$57="Leve"),CONCATENATE("R",'Mapa final'!$A$57),"")</f>
        <v/>
      </c>
      <c r="O18" s="305"/>
      <c r="P18" s="303" t="str">
        <f ca="1">IF(AND('Mapa final'!$J$45="Alta",'Mapa final'!$N$45="Menor"),CONCATENATE("R",'Mapa final'!$A$45),"")</f>
        <v/>
      </c>
      <c r="Q18" s="304"/>
      <c r="R18" s="304" t="str">
        <f ca="1">IF(AND('Mapa final'!$J$51="Alta",'Mapa final'!$N$51="Menor"),CONCATENATE("R",'Mapa final'!$A$51),"")</f>
        <v/>
      </c>
      <c r="S18" s="304"/>
      <c r="T18" s="304" t="str">
        <f ca="1">IF(AND('Mapa final'!$J$57="Alta",'Mapa final'!$N$57="Menor"),CONCATENATE("R",'Mapa final'!$A$57),"")</f>
        <v/>
      </c>
      <c r="U18" s="305"/>
      <c r="V18" s="286" t="str">
        <f ca="1">IF(AND('Mapa final'!$J$45="Alta",'Mapa final'!$N$45="Moderado"),CONCATENATE("R",'Mapa final'!$A$45),"")</f>
        <v/>
      </c>
      <c r="W18" s="283"/>
      <c r="X18" s="281" t="str">
        <f ca="1">IF(AND('Mapa final'!$J$51="Alta",'Mapa final'!$N$51="Moderado"),CONCATENATE("R",'Mapa final'!$A$51),"")</f>
        <v/>
      </c>
      <c r="Y18" s="281"/>
      <c r="Z18" s="281" t="str">
        <f ca="1">IF(AND('Mapa final'!$J$57="Alta",'Mapa final'!$N$57="Moderado"),CONCATENATE("R",'Mapa final'!$A$57),"")</f>
        <v/>
      </c>
      <c r="AA18" s="282"/>
      <c r="AB18" s="286" t="str">
        <f ca="1">IF(AND('Mapa final'!$J$45="Alta",'Mapa final'!$N$45="Mayor"),CONCATENATE("R",'Mapa final'!$A$45),"")</f>
        <v/>
      </c>
      <c r="AC18" s="283"/>
      <c r="AD18" s="281" t="str">
        <f ca="1">IF(AND('Mapa final'!$J$51="Alta",'Mapa final'!$N$51="Mayor"),CONCATENATE("R",'Mapa final'!$A$51),"")</f>
        <v/>
      </c>
      <c r="AE18" s="281"/>
      <c r="AF18" s="281" t="str">
        <f ca="1">IF(AND('Mapa final'!$J$57="Alta",'Mapa final'!$N$57="Mayor"),CONCATENATE("R",'Mapa final'!$A$57),"")</f>
        <v/>
      </c>
      <c r="AG18" s="282"/>
      <c r="AH18" s="294" t="str">
        <f ca="1">IF(AND('Mapa final'!$J$45="Alta",'Mapa final'!$N$45="Catastrófico"),CONCATENATE("R",'Mapa final'!$A$45),"")</f>
        <v/>
      </c>
      <c r="AI18" s="295"/>
      <c r="AJ18" s="295" t="str">
        <f ca="1">IF(AND('Mapa final'!$J$51="Alta",'Mapa final'!$N$51="Catastrófico"),CONCATENATE("R",'Mapa final'!$A$51),"")</f>
        <v/>
      </c>
      <c r="AK18" s="295"/>
      <c r="AL18" s="295" t="str">
        <f ca="1">IF(AND('Mapa final'!$J$57="Alta",'Mapa final'!$N$57="Catastrófico"),CONCATENATE("R",'Mapa final'!$A$57),"")</f>
        <v/>
      </c>
      <c r="AM18" s="296"/>
      <c r="AN18" s="70"/>
      <c r="AO18" s="248"/>
      <c r="AP18" s="249"/>
      <c r="AQ18" s="249"/>
      <c r="AR18" s="249"/>
      <c r="AS18" s="249"/>
      <c r="AT18" s="25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34"/>
      <c r="C19" s="234"/>
      <c r="D19" s="235"/>
      <c r="E19" s="275"/>
      <c r="F19" s="276"/>
      <c r="G19" s="276"/>
      <c r="H19" s="276"/>
      <c r="I19" s="289"/>
      <c r="J19" s="303"/>
      <c r="K19" s="304"/>
      <c r="L19" s="304"/>
      <c r="M19" s="304"/>
      <c r="N19" s="304"/>
      <c r="O19" s="305"/>
      <c r="P19" s="303"/>
      <c r="Q19" s="304"/>
      <c r="R19" s="304"/>
      <c r="S19" s="304"/>
      <c r="T19" s="304"/>
      <c r="U19" s="305"/>
      <c r="V19" s="286"/>
      <c r="W19" s="283"/>
      <c r="X19" s="281"/>
      <c r="Y19" s="281"/>
      <c r="Z19" s="281"/>
      <c r="AA19" s="282"/>
      <c r="AB19" s="286"/>
      <c r="AC19" s="283"/>
      <c r="AD19" s="281"/>
      <c r="AE19" s="281"/>
      <c r="AF19" s="281"/>
      <c r="AG19" s="282"/>
      <c r="AH19" s="294"/>
      <c r="AI19" s="295"/>
      <c r="AJ19" s="295"/>
      <c r="AK19" s="295"/>
      <c r="AL19" s="295"/>
      <c r="AM19" s="296"/>
      <c r="AN19" s="70"/>
      <c r="AO19" s="248"/>
      <c r="AP19" s="249"/>
      <c r="AQ19" s="249"/>
      <c r="AR19" s="249"/>
      <c r="AS19" s="249"/>
      <c r="AT19" s="25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34"/>
      <c r="C20" s="234"/>
      <c r="D20" s="235"/>
      <c r="E20" s="275"/>
      <c r="F20" s="276"/>
      <c r="G20" s="276"/>
      <c r="H20" s="276"/>
      <c r="I20" s="289"/>
      <c r="J20" s="303" t="str">
        <f ca="1">IF(AND('Mapa final'!$J$63="Alta",'Mapa final'!$N$63="Leve"),CONCATENATE("R",'Mapa final'!$A$63),"")</f>
        <v/>
      </c>
      <c r="K20" s="304"/>
      <c r="L20" s="304" t="str">
        <f>IF(AND('Mapa final'!$J$70="Alta",'Mapa final'!$N$70="Leve"),CONCATENATE("R",'Mapa final'!$A$70),"")</f>
        <v/>
      </c>
      <c r="M20" s="304"/>
      <c r="N20" s="304" t="str">
        <f>IF(AND('Mapa final'!$J$76="Alta",'Mapa final'!$N$76="Leve"),CONCATENATE("R",'Mapa final'!$A$76),"")</f>
        <v/>
      </c>
      <c r="O20" s="305"/>
      <c r="P20" s="303" t="str">
        <f ca="1">IF(AND('Mapa final'!$J$63="Alta",'Mapa final'!$N$63="Menor"),CONCATENATE("R",'Mapa final'!$A$63),"")</f>
        <v/>
      </c>
      <c r="Q20" s="304"/>
      <c r="R20" s="304" t="str">
        <f>IF(AND('Mapa final'!$J$70="Alta",'Mapa final'!$N$70="Menor"),CONCATENATE("R",'Mapa final'!$A$70),"")</f>
        <v/>
      </c>
      <c r="S20" s="304"/>
      <c r="T20" s="304" t="str">
        <f>IF(AND('Mapa final'!$J$76="Alta",'Mapa final'!$N$76="Menor"),CONCATENATE("R",'Mapa final'!$A$76),"")</f>
        <v/>
      </c>
      <c r="U20" s="305"/>
      <c r="V20" s="286" t="str">
        <f ca="1">IF(AND('Mapa final'!$J$63="Alta",'Mapa final'!$N$63="Moderado"),CONCATENATE("R",'Mapa final'!$A$63),"")</f>
        <v/>
      </c>
      <c r="W20" s="283"/>
      <c r="X20" s="281" t="str">
        <f>IF(AND('Mapa final'!$J$70="Alta",'Mapa final'!$N$70="Moderado"),CONCATENATE("R",'Mapa final'!$A$70),"")</f>
        <v/>
      </c>
      <c r="Y20" s="281"/>
      <c r="Z20" s="281" t="str">
        <f>IF(AND('Mapa final'!$J$76="Alta",'Mapa final'!$N$76="Moderado"),CONCATENATE("R",'Mapa final'!$A$76),"")</f>
        <v/>
      </c>
      <c r="AA20" s="282"/>
      <c r="AB20" s="286" t="str">
        <f ca="1">IF(AND('Mapa final'!$J$63="Alta",'Mapa final'!$N$63="Mayor"),CONCATENATE("R",'Mapa final'!$A$63),"")</f>
        <v/>
      </c>
      <c r="AC20" s="283"/>
      <c r="AD20" s="281" t="str">
        <f>IF(AND('Mapa final'!$J$70="Alta",'Mapa final'!$N$70="Mayor"),CONCATENATE("R",'Mapa final'!$A$70),"")</f>
        <v/>
      </c>
      <c r="AE20" s="281"/>
      <c r="AF20" s="281" t="str">
        <f>IF(AND('Mapa final'!$J$76="Alta",'Mapa final'!$N$76="Mayor"),CONCATENATE("R",'Mapa final'!$A$76),"")</f>
        <v/>
      </c>
      <c r="AG20" s="282"/>
      <c r="AH20" s="294" t="str">
        <f ca="1">IF(AND('Mapa final'!$J$63="Alta",'Mapa final'!$N$63="Catastrófico"),CONCATENATE("R",'Mapa final'!$A$63),"")</f>
        <v/>
      </c>
      <c r="AI20" s="295"/>
      <c r="AJ20" s="295" t="str">
        <f>IF(AND('Mapa final'!$J$70="Alta",'Mapa final'!$N$70="Catastrófico"),CONCATENATE("R",'Mapa final'!$A$70),"")</f>
        <v/>
      </c>
      <c r="AK20" s="295"/>
      <c r="AL20" s="295" t="str">
        <f>IF(AND('Mapa final'!$J$76="Alta",'Mapa final'!$N$76="Catastrófico"),CONCATENATE("R",'Mapa final'!$A$76),"")</f>
        <v/>
      </c>
      <c r="AM20" s="296"/>
      <c r="AN20" s="70"/>
      <c r="AO20" s="248"/>
      <c r="AP20" s="249"/>
      <c r="AQ20" s="249"/>
      <c r="AR20" s="249"/>
      <c r="AS20" s="249"/>
      <c r="AT20" s="25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34"/>
      <c r="C21" s="234"/>
      <c r="D21" s="235"/>
      <c r="E21" s="278"/>
      <c r="F21" s="279"/>
      <c r="G21" s="279"/>
      <c r="H21" s="279"/>
      <c r="I21" s="279"/>
      <c r="J21" s="306"/>
      <c r="K21" s="307"/>
      <c r="L21" s="307"/>
      <c r="M21" s="307"/>
      <c r="N21" s="307"/>
      <c r="O21" s="308"/>
      <c r="P21" s="306"/>
      <c r="Q21" s="307"/>
      <c r="R21" s="307"/>
      <c r="S21" s="307"/>
      <c r="T21" s="307"/>
      <c r="U21" s="308"/>
      <c r="V21" s="291"/>
      <c r="W21" s="292"/>
      <c r="X21" s="292"/>
      <c r="Y21" s="292"/>
      <c r="Z21" s="292"/>
      <c r="AA21" s="293"/>
      <c r="AB21" s="291"/>
      <c r="AC21" s="292"/>
      <c r="AD21" s="292"/>
      <c r="AE21" s="292"/>
      <c r="AF21" s="292"/>
      <c r="AG21" s="293"/>
      <c r="AH21" s="297"/>
      <c r="AI21" s="298"/>
      <c r="AJ21" s="298"/>
      <c r="AK21" s="298"/>
      <c r="AL21" s="298"/>
      <c r="AM21" s="299"/>
      <c r="AN21" s="70"/>
      <c r="AO21" s="251"/>
      <c r="AP21" s="252"/>
      <c r="AQ21" s="252"/>
      <c r="AR21" s="252"/>
      <c r="AS21" s="252"/>
      <c r="AT21" s="253"/>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234"/>
      <c r="C22" s="234"/>
      <c r="D22" s="235"/>
      <c r="E22" s="272" t="s">
        <v>113</v>
      </c>
      <c r="F22" s="273"/>
      <c r="G22" s="273"/>
      <c r="H22" s="273"/>
      <c r="I22" s="274"/>
      <c r="J22" s="309" t="str">
        <f ca="1">IF(AND('Mapa final'!$J$9="Media",'Mapa final'!$N$9="Leve"),CONCATENATE("R",'Mapa final'!$A$9),"")</f>
        <v/>
      </c>
      <c r="K22" s="310"/>
      <c r="L22" s="310" t="str">
        <f ca="1">IF(AND('Mapa final'!$J$15="Media",'Mapa final'!$N$15="Leve"),CONCATENATE("R",'Mapa final'!$A$15),"")</f>
        <v/>
      </c>
      <c r="M22" s="310"/>
      <c r="N22" s="310" t="str">
        <f ca="1">IF(AND('Mapa final'!$J$21="Media",'Mapa final'!$N$21="Leve"),CONCATENATE("R",'Mapa final'!$A$21),"")</f>
        <v/>
      </c>
      <c r="O22" s="311"/>
      <c r="P22" s="309" t="str">
        <f ca="1">IF(AND('Mapa final'!$J$9="Media",'Mapa final'!$N$9="Menor"),CONCATENATE("R",'Mapa final'!$A$9),"")</f>
        <v/>
      </c>
      <c r="Q22" s="310"/>
      <c r="R22" s="310" t="str">
        <f ca="1">IF(AND('Mapa final'!$J$15="Media",'Mapa final'!$N$15="Menor"),CONCATENATE("R",'Mapa final'!$A$15),"")</f>
        <v/>
      </c>
      <c r="S22" s="310"/>
      <c r="T22" s="310" t="str">
        <f ca="1">IF(AND('Mapa final'!$J$21="Media",'Mapa final'!$N$21="Menor"),CONCATENATE("R",'Mapa final'!$A$21),"")</f>
        <v/>
      </c>
      <c r="U22" s="311"/>
      <c r="V22" s="309" t="str">
        <f ca="1">IF(AND('Mapa final'!$J$9="Media",'Mapa final'!$N$9="Moderado"),CONCATENATE("R",'Mapa final'!$A$9),"")</f>
        <v>R1</v>
      </c>
      <c r="W22" s="310"/>
      <c r="X22" s="310" t="str">
        <f ca="1">IF(AND('Mapa final'!$J$15="Media",'Mapa final'!$N$15="Moderado"),CONCATENATE("R",'Mapa final'!$A$15),"")</f>
        <v/>
      </c>
      <c r="Y22" s="310"/>
      <c r="Z22" s="310" t="str">
        <f ca="1">IF(AND('Mapa final'!$J$21="Media",'Mapa final'!$N$21="Moderado"),CONCATENATE("R",'Mapa final'!$A$21),"")</f>
        <v/>
      </c>
      <c r="AA22" s="311"/>
      <c r="AB22" s="284" t="str">
        <f ca="1">IF(AND('Mapa final'!$J$9="Media",'Mapa final'!$N$9="Mayor"),CONCATENATE("R",'Mapa final'!$A$9),"")</f>
        <v/>
      </c>
      <c r="AC22" s="285"/>
      <c r="AD22" s="285" t="str">
        <f ca="1">IF(AND('Mapa final'!$J$15="Media",'Mapa final'!$N$15="Mayor"),CONCATENATE("R",'Mapa final'!$A$15),"")</f>
        <v>R2</v>
      </c>
      <c r="AE22" s="285"/>
      <c r="AF22" s="285" t="str">
        <f ca="1">IF(AND('Mapa final'!$J$21="Media",'Mapa final'!$N$21="Mayor"),CONCATENATE("R",'Mapa final'!$A$21),"")</f>
        <v/>
      </c>
      <c r="AG22" s="287"/>
      <c r="AH22" s="300" t="str">
        <f ca="1">IF(AND('Mapa final'!$J$9="Media",'Mapa final'!$N$9="Catastrófico"),CONCATENATE("R",'Mapa final'!$A$9),"")</f>
        <v/>
      </c>
      <c r="AI22" s="301"/>
      <c r="AJ22" s="301" t="str">
        <f ca="1">IF(AND('Mapa final'!$J$15="Media",'Mapa final'!$N$15="Catastrófico"),CONCATENATE("R",'Mapa final'!$A$15),"")</f>
        <v/>
      </c>
      <c r="AK22" s="301"/>
      <c r="AL22" s="301" t="str">
        <f ca="1">IF(AND('Mapa final'!$J$21="Media",'Mapa final'!$N$21="Catastrófico"),CONCATENATE("R",'Mapa final'!$A$21),"")</f>
        <v/>
      </c>
      <c r="AM22" s="302"/>
      <c r="AN22" s="70"/>
      <c r="AO22" s="254" t="s">
        <v>77</v>
      </c>
      <c r="AP22" s="255"/>
      <c r="AQ22" s="255"/>
      <c r="AR22" s="255"/>
      <c r="AS22" s="255"/>
      <c r="AT22" s="256"/>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234"/>
      <c r="C23" s="234"/>
      <c r="D23" s="235"/>
      <c r="E23" s="275"/>
      <c r="F23" s="276"/>
      <c r="G23" s="276"/>
      <c r="H23" s="276"/>
      <c r="I23" s="277"/>
      <c r="J23" s="303"/>
      <c r="K23" s="304"/>
      <c r="L23" s="304"/>
      <c r="M23" s="304"/>
      <c r="N23" s="304"/>
      <c r="O23" s="305"/>
      <c r="P23" s="303"/>
      <c r="Q23" s="304"/>
      <c r="R23" s="304"/>
      <c r="S23" s="304"/>
      <c r="T23" s="304"/>
      <c r="U23" s="305"/>
      <c r="V23" s="303"/>
      <c r="W23" s="304"/>
      <c r="X23" s="304"/>
      <c r="Y23" s="304"/>
      <c r="Z23" s="304"/>
      <c r="AA23" s="305"/>
      <c r="AB23" s="286"/>
      <c r="AC23" s="283"/>
      <c r="AD23" s="283"/>
      <c r="AE23" s="283"/>
      <c r="AF23" s="283"/>
      <c r="AG23" s="282"/>
      <c r="AH23" s="294"/>
      <c r="AI23" s="295"/>
      <c r="AJ23" s="295"/>
      <c r="AK23" s="295"/>
      <c r="AL23" s="295"/>
      <c r="AM23" s="296"/>
      <c r="AN23" s="70"/>
      <c r="AO23" s="257"/>
      <c r="AP23" s="258"/>
      <c r="AQ23" s="258"/>
      <c r="AR23" s="258"/>
      <c r="AS23" s="258"/>
      <c r="AT23" s="259"/>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234"/>
      <c r="C24" s="234"/>
      <c r="D24" s="235"/>
      <c r="E24" s="275"/>
      <c r="F24" s="276"/>
      <c r="G24" s="276"/>
      <c r="H24" s="276"/>
      <c r="I24" s="277"/>
      <c r="J24" s="303" t="str">
        <f ca="1">IF(AND('Mapa final'!$J$27="Media",'Mapa final'!$N$27="Leve"),CONCATENATE("R",'Mapa final'!$A$27),"")</f>
        <v/>
      </c>
      <c r="K24" s="304"/>
      <c r="L24" s="304" t="str">
        <f ca="1">IF(AND('Mapa final'!$J$33="Media",'Mapa final'!$N$33="Leve"),CONCATENATE("R",'Mapa final'!$A$33),"")</f>
        <v/>
      </c>
      <c r="M24" s="304"/>
      <c r="N24" s="304" t="str">
        <f ca="1">IF(AND('Mapa final'!$J$39="Media",'Mapa final'!$N$39="Leve"),CONCATENATE("R",'Mapa final'!$A$39),"")</f>
        <v/>
      </c>
      <c r="O24" s="305"/>
      <c r="P24" s="303" t="str">
        <f ca="1">IF(AND('Mapa final'!$J$27="Media",'Mapa final'!$N$27="Menor"),CONCATENATE("R",'Mapa final'!$A$27),"")</f>
        <v/>
      </c>
      <c r="Q24" s="304"/>
      <c r="R24" s="304" t="str">
        <f ca="1">IF(AND('Mapa final'!$J$33="Media",'Mapa final'!$N$33="Menor"),CONCATENATE("R",'Mapa final'!$A$33),"")</f>
        <v/>
      </c>
      <c r="S24" s="304"/>
      <c r="T24" s="304" t="str">
        <f ca="1">IF(AND('Mapa final'!$J$39="Media",'Mapa final'!$N$39="Menor"),CONCATENATE("R",'Mapa final'!$A$39),"")</f>
        <v/>
      </c>
      <c r="U24" s="305"/>
      <c r="V24" s="303" t="str">
        <f ca="1">IF(AND('Mapa final'!$J$27="Media",'Mapa final'!$N$27="Moderado"),CONCATENATE("R",'Mapa final'!$A$27),"")</f>
        <v/>
      </c>
      <c r="W24" s="304"/>
      <c r="X24" s="304" t="str">
        <f ca="1">IF(AND('Mapa final'!$J$33="Media",'Mapa final'!$N$33="Moderado"),CONCATENATE("R",'Mapa final'!$A$33),"")</f>
        <v/>
      </c>
      <c r="Y24" s="304"/>
      <c r="Z24" s="304" t="str">
        <f ca="1">IF(AND('Mapa final'!$J$39="Media",'Mapa final'!$N$39="Moderado"),CONCATENATE("R",'Mapa final'!$A$39),"")</f>
        <v/>
      </c>
      <c r="AA24" s="305"/>
      <c r="AB24" s="286" t="str">
        <f ca="1">IF(AND('Mapa final'!$J$27="Media",'Mapa final'!$N$27="Mayor"),CONCATENATE("R",'Mapa final'!$A$27),"")</f>
        <v/>
      </c>
      <c r="AC24" s="283"/>
      <c r="AD24" s="281" t="str">
        <f ca="1">IF(AND('Mapa final'!$J$33="Media",'Mapa final'!$N$33="Mayor"),CONCATENATE("R",'Mapa final'!$A$33),"")</f>
        <v/>
      </c>
      <c r="AE24" s="281"/>
      <c r="AF24" s="281" t="str">
        <f ca="1">IF(AND('Mapa final'!$J$39="Media",'Mapa final'!$N$39="Mayor"),CONCATENATE("R",'Mapa final'!$A$39),"")</f>
        <v/>
      </c>
      <c r="AG24" s="282"/>
      <c r="AH24" s="294" t="str">
        <f ca="1">IF(AND('Mapa final'!$J$27="Media",'Mapa final'!$N$27="Catastrófico"),CONCATENATE("R",'Mapa final'!$A$27),"")</f>
        <v/>
      </c>
      <c r="AI24" s="295"/>
      <c r="AJ24" s="295" t="str">
        <f ca="1">IF(AND('Mapa final'!$J$33="Media",'Mapa final'!$N$33="Catastrófico"),CONCATENATE("R",'Mapa final'!$A$33),"")</f>
        <v/>
      </c>
      <c r="AK24" s="295"/>
      <c r="AL24" s="295" t="str">
        <f ca="1">IF(AND('Mapa final'!$J$39="Media",'Mapa final'!$N$39="Catastrófico"),CONCATENATE("R",'Mapa final'!$A$39),"")</f>
        <v/>
      </c>
      <c r="AM24" s="296"/>
      <c r="AN24" s="70"/>
      <c r="AO24" s="257"/>
      <c r="AP24" s="258"/>
      <c r="AQ24" s="258"/>
      <c r="AR24" s="258"/>
      <c r="AS24" s="258"/>
      <c r="AT24" s="259"/>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234"/>
      <c r="C25" s="234"/>
      <c r="D25" s="235"/>
      <c r="E25" s="275"/>
      <c r="F25" s="276"/>
      <c r="G25" s="276"/>
      <c r="H25" s="276"/>
      <c r="I25" s="277"/>
      <c r="J25" s="303"/>
      <c r="K25" s="304"/>
      <c r="L25" s="304"/>
      <c r="M25" s="304"/>
      <c r="N25" s="304"/>
      <c r="O25" s="305"/>
      <c r="P25" s="303"/>
      <c r="Q25" s="304"/>
      <c r="R25" s="304"/>
      <c r="S25" s="304"/>
      <c r="T25" s="304"/>
      <c r="U25" s="305"/>
      <c r="V25" s="303"/>
      <c r="W25" s="304"/>
      <c r="X25" s="304"/>
      <c r="Y25" s="304"/>
      <c r="Z25" s="304"/>
      <c r="AA25" s="305"/>
      <c r="AB25" s="286"/>
      <c r="AC25" s="283"/>
      <c r="AD25" s="281"/>
      <c r="AE25" s="281"/>
      <c r="AF25" s="281"/>
      <c r="AG25" s="282"/>
      <c r="AH25" s="294"/>
      <c r="AI25" s="295"/>
      <c r="AJ25" s="295"/>
      <c r="AK25" s="295"/>
      <c r="AL25" s="295"/>
      <c r="AM25" s="296"/>
      <c r="AN25" s="70"/>
      <c r="AO25" s="257"/>
      <c r="AP25" s="258"/>
      <c r="AQ25" s="258"/>
      <c r="AR25" s="258"/>
      <c r="AS25" s="258"/>
      <c r="AT25" s="259"/>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234"/>
      <c r="C26" s="234"/>
      <c r="D26" s="235"/>
      <c r="E26" s="275"/>
      <c r="F26" s="276"/>
      <c r="G26" s="276"/>
      <c r="H26" s="276"/>
      <c r="I26" s="277"/>
      <c r="J26" s="303" t="str">
        <f ca="1">IF(AND('Mapa final'!$J$45="Media",'Mapa final'!$N$45="Leve"),CONCATENATE("R",'Mapa final'!$A$45),"")</f>
        <v/>
      </c>
      <c r="K26" s="304"/>
      <c r="L26" s="304" t="str">
        <f ca="1">IF(AND('Mapa final'!$J$51="Media",'Mapa final'!$N$51="Leve"),CONCATENATE("R",'Mapa final'!$A$51),"")</f>
        <v/>
      </c>
      <c r="M26" s="304"/>
      <c r="N26" s="304" t="str">
        <f ca="1">IF(AND('Mapa final'!$J$57="Media",'Mapa final'!$N$57="Leve"),CONCATENATE("R",'Mapa final'!$A$57),"")</f>
        <v/>
      </c>
      <c r="O26" s="305"/>
      <c r="P26" s="303" t="str">
        <f ca="1">IF(AND('Mapa final'!$J$45="Media",'Mapa final'!$N$45="Menor"),CONCATENATE("R",'Mapa final'!$A$45),"")</f>
        <v/>
      </c>
      <c r="Q26" s="304"/>
      <c r="R26" s="304" t="str">
        <f ca="1">IF(AND('Mapa final'!$J$51="Media",'Mapa final'!$N$51="Menor"),CONCATENATE("R",'Mapa final'!$A$51),"")</f>
        <v/>
      </c>
      <c r="S26" s="304"/>
      <c r="T26" s="304" t="str">
        <f ca="1">IF(AND('Mapa final'!$J$57="Media",'Mapa final'!$N$57="Menor"),CONCATENATE("R",'Mapa final'!$A$57),"")</f>
        <v/>
      </c>
      <c r="U26" s="305"/>
      <c r="V26" s="303" t="str">
        <f ca="1">IF(AND('Mapa final'!$J$45="Media",'Mapa final'!$N$45="Moderado"),CONCATENATE("R",'Mapa final'!$A$45),"")</f>
        <v/>
      </c>
      <c r="W26" s="304"/>
      <c r="X26" s="304" t="str">
        <f ca="1">IF(AND('Mapa final'!$J$51="Media",'Mapa final'!$N$51="Moderado"),CONCATENATE("R",'Mapa final'!$A$51),"")</f>
        <v/>
      </c>
      <c r="Y26" s="304"/>
      <c r="Z26" s="304" t="str">
        <f ca="1">IF(AND('Mapa final'!$J$57="Media",'Mapa final'!$N$57="Moderado"),CONCATENATE("R",'Mapa final'!$A$57),"")</f>
        <v/>
      </c>
      <c r="AA26" s="305"/>
      <c r="AB26" s="286" t="str">
        <f ca="1">IF(AND('Mapa final'!$J$45="Media",'Mapa final'!$N$45="Mayor"),CONCATENATE("R",'Mapa final'!$A$45),"")</f>
        <v/>
      </c>
      <c r="AC26" s="283"/>
      <c r="AD26" s="281" t="str">
        <f ca="1">IF(AND('Mapa final'!$J$51="Media",'Mapa final'!$N$51="Mayor"),CONCATENATE("R",'Mapa final'!$A$51),"")</f>
        <v/>
      </c>
      <c r="AE26" s="281"/>
      <c r="AF26" s="281" t="str">
        <f ca="1">IF(AND('Mapa final'!$J$57="Media",'Mapa final'!$N$57="Mayor"),CONCATENATE("R",'Mapa final'!$A$57),"")</f>
        <v/>
      </c>
      <c r="AG26" s="282"/>
      <c r="AH26" s="294" t="str">
        <f ca="1">IF(AND('Mapa final'!$J$45="Media",'Mapa final'!$N$45="Catastrófico"),CONCATENATE("R",'Mapa final'!$A$45),"")</f>
        <v/>
      </c>
      <c r="AI26" s="295"/>
      <c r="AJ26" s="295" t="str">
        <f ca="1">IF(AND('Mapa final'!$J$51="Media",'Mapa final'!$N$51="Catastrófico"),CONCATENATE("R",'Mapa final'!$A$51),"")</f>
        <v/>
      </c>
      <c r="AK26" s="295"/>
      <c r="AL26" s="295" t="str">
        <f ca="1">IF(AND('Mapa final'!$J$57="Media",'Mapa final'!$N$57="Catastrófico"),CONCATENATE("R",'Mapa final'!$A$57),"")</f>
        <v/>
      </c>
      <c r="AM26" s="296"/>
      <c r="AN26" s="70"/>
      <c r="AO26" s="257"/>
      <c r="AP26" s="258"/>
      <c r="AQ26" s="258"/>
      <c r="AR26" s="258"/>
      <c r="AS26" s="258"/>
      <c r="AT26" s="259"/>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234"/>
      <c r="C27" s="234"/>
      <c r="D27" s="235"/>
      <c r="E27" s="275"/>
      <c r="F27" s="276"/>
      <c r="G27" s="276"/>
      <c r="H27" s="276"/>
      <c r="I27" s="277"/>
      <c r="J27" s="303"/>
      <c r="K27" s="304"/>
      <c r="L27" s="304"/>
      <c r="M27" s="304"/>
      <c r="N27" s="304"/>
      <c r="O27" s="305"/>
      <c r="P27" s="303"/>
      <c r="Q27" s="304"/>
      <c r="R27" s="304"/>
      <c r="S27" s="304"/>
      <c r="T27" s="304"/>
      <c r="U27" s="305"/>
      <c r="V27" s="303"/>
      <c r="W27" s="304"/>
      <c r="X27" s="304"/>
      <c r="Y27" s="304"/>
      <c r="Z27" s="304"/>
      <c r="AA27" s="305"/>
      <c r="AB27" s="286"/>
      <c r="AC27" s="283"/>
      <c r="AD27" s="281"/>
      <c r="AE27" s="281"/>
      <c r="AF27" s="281"/>
      <c r="AG27" s="282"/>
      <c r="AH27" s="294"/>
      <c r="AI27" s="295"/>
      <c r="AJ27" s="295"/>
      <c r="AK27" s="295"/>
      <c r="AL27" s="295"/>
      <c r="AM27" s="296"/>
      <c r="AN27" s="70"/>
      <c r="AO27" s="257"/>
      <c r="AP27" s="258"/>
      <c r="AQ27" s="258"/>
      <c r="AR27" s="258"/>
      <c r="AS27" s="258"/>
      <c r="AT27" s="259"/>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234"/>
      <c r="C28" s="234"/>
      <c r="D28" s="235"/>
      <c r="E28" s="275"/>
      <c r="F28" s="276"/>
      <c r="G28" s="276"/>
      <c r="H28" s="276"/>
      <c r="I28" s="277"/>
      <c r="J28" s="303" t="str">
        <f ca="1">IF(AND('Mapa final'!$J$63="Media",'Mapa final'!$N$63="Leve"),CONCATENATE("R",'Mapa final'!$A$63),"")</f>
        <v/>
      </c>
      <c r="K28" s="304"/>
      <c r="L28" s="304" t="str">
        <f>IF(AND('Mapa final'!$J$70="Media",'Mapa final'!$N$70="Leve"),CONCATENATE("R",'Mapa final'!$A$70),"")</f>
        <v/>
      </c>
      <c r="M28" s="304"/>
      <c r="N28" s="304" t="str">
        <f>IF(AND('Mapa final'!$J$76="Media",'Mapa final'!$N$76="Leve"),CONCATENATE("R",'Mapa final'!$A$76),"")</f>
        <v/>
      </c>
      <c r="O28" s="305"/>
      <c r="P28" s="303" t="str">
        <f ca="1">IF(AND('Mapa final'!$J$63="Media",'Mapa final'!$N$63="Menor"),CONCATENATE("R",'Mapa final'!$A$63),"")</f>
        <v/>
      </c>
      <c r="Q28" s="304"/>
      <c r="R28" s="304" t="str">
        <f>IF(AND('Mapa final'!$J$70="Media",'Mapa final'!$N$70="Menor"),CONCATENATE("R",'Mapa final'!$A$70),"")</f>
        <v/>
      </c>
      <c r="S28" s="304"/>
      <c r="T28" s="304" t="str">
        <f>IF(AND('Mapa final'!$J$76="Media",'Mapa final'!$N$76="Menor"),CONCATENATE("R",'Mapa final'!$A$76),"")</f>
        <v/>
      </c>
      <c r="U28" s="305"/>
      <c r="V28" s="303" t="str">
        <f ca="1">IF(AND('Mapa final'!$J$63="Media",'Mapa final'!$N$63="Moderado"),CONCATENATE("R",'Mapa final'!$A$63),"")</f>
        <v/>
      </c>
      <c r="W28" s="304"/>
      <c r="X28" s="304" t="str">
        <f>IF(AND('Mapa final'!$J$70="Media",'Mapa final'!$N$70="Moderado"),CONCATENATE("R",'Mapa final'!$A$70),"")</f>
        <v/>
      </c>
      <c r="Y28" s="304"/>
      <c r="Z28" s="304" t="str">
        <f>IF(AND('Mapa final'!$J$76="Media",'Mapa final'!$N$76="Moderado"),CONCATENATE("R",'Mapa final'!$A$76),"")</f>
        <v/>
      </c>
      <c r="AA28" s="305"/>
      <c r="AB28" s="286" t="str">
        <f ca="1">IF(AND('Mapa final'!$J$63="Media",'Mapa final'!$N$63="Mayor"),CONCATENATE("R",'Mapa final'!$A$63),"")</f>
        <v/>
      </c>
      <c r="AC28" s="283"/>
      <c r="AD28" s="281" t="str">
        <f>IF(AND('Mapa final'!$J$70="Media",'Mapa final'!$N$70="Mayor"),CONCATENATE("R",'Mapa final'!$A$70),"")</f>
        <v/>
      </c>
      <c r="AE28" s="281"/>
      <c r="AF28" s="281" t="str">
        <f>IF(AND('Mapa final'!$J$76="Media",'Mapa final'!$N$76="Mayor"),CONCATENATE("R",'Mapa final'!$A$76),"")</f>
        <v/>
      </c>
      <c r="AG28" s="282"/>
      <c r="AH28" s="294" t="str">
        <f ca="1">IF(AND('Mapa final'!$J$63="Media",'Mapa final'!$N$63="Catastrófico"),CONCATENATE("R",'Mapa final'!$A$63),"")</f>
        <v/>
      </c>
      <c r="AI28" s="295"/>
      <c r="AJ28" s="295" t="str">
        <f>IF(AND('Mapa final'!$J$70="Media",'Mapa final'!$N$70="Catastrófico"),CONCATENATE("R",'Mapa final'!$A$70),"")</f>
        <v/>
      </c>
      <c r="AK28" s="295"/>
      <c r="AL28" s="295" t="str">
        <f>IF(AND('Mapa final'!$J$76="Media",'Mapa final'!$N$76="Catastrófico"),CONCATENATE("R",'Mapa final'!$A$76),"")</f>
        <v/>
      </c>
      <c r="AM28" s="296"/>
      <c r="AN28" s="70"/>
      <c r="AO28" s="257"/>
      <c r="AP28" s="258"/>
      <c r="AQ28" s="258"/>
      <c r="AR28" s="258"/>
      <c r="AS28" s="258"/>
      <c r="AT28" s="259"/>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234"/>
      <c r="C29" s="234"/>
      <c r="D29" s="235"/>
      <c r="E29" s="278"/>
      <c r="F29" s="279"/>
      <c r="G29" s="279"/>
      <c r="H29" s="279"/>
      <c r="I29" s="280"/>
      <c r="J29" s="303"/>
      <c r="K29" s="304"/>
      <c r="L29" s="304"/>
      <c r="M29" s="304"/>
      <c r="N29" s="304"/>
      <c r="O29" s="305"/>
      <c r="P29" s="306"/>
      <c r="Q29" s="307"/>
      <c r="R29" s="307"/>
      <c r="S29" s="307"/>
      <c r="T29" s="307"/>
      <c r="U29" s="308"/>
      <c r="V29" s="306"/>
      <c r="W29" s="307"/>
      <c r="X29" s="307"/>
      <c r="Y29" s="307"/>
      <c r="Z29" s="307"/>
      <c r="AA29" s="308"/>
      <c r="AB29" s="291"/>
      <c r="AC29" s="292"/>
      <c r="AD29" s="292"/>
      <c r="AE29" s="292"/>
      <c r="AF29" s="292"/>
      <c r="AG29" s="293"/>
      <c r="AH29" s="297"/>
      <c r="AI29" s="298"/>
      <c r="AJ29" s="298"/>
      <c r="AK29" s="298"/>
      <c r="AL29" s="298"/>
      <c r="AM29" s="299"/>
      <c r="AN29" s="70"/>
      <c r="AO29" s="260"/>
      <c r="AP29" s="261"/>
      <c r="AQ29" s="261"/>
      <c r="AR29" s="261"/>
      <c r="AS29" s="261"/>
      <c r="AT29" s="262"/>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234"/>
      <c r="C30" s="234"/>
      <c r="D30" s="235"/>
      <c r="E30" s="272" t="s">
        <v>110</v>
      </c>
      <c r="F30" s="273"/>
      <c r="G30" s="273"/>
      <c r="H30" s="273"/>
      <c r="I30" s="273"/>
      <c r="J30" s="318" t="str">
        <f ca="1">IF(AND('Mapa final'!$J$9="Baja",'Mapa final'!$N$9="Leve"),CONCATENATE("R",'Mapa final'!$A$9),"")</f>
        <v/>
      </c>
      <c r="K30" s="319"/>
      <c r="L30" s="319" t="str">
        <f ca="1">IF(AND('Mapa final'!$J$15="Baja",'Mapa final'!$N$15="Leve"),CONCATENATE("R",'Mapa final'!$A$15),"")</f>
        <v/>
      </c>
      <c r="M30" s="319"/>
      <c r="N30" s="319" t="str">
        <f ca="1">IF(AND('Mapa final'!$J$21="Baja",'Mapa final'!$N$21="Leve"),CONCATENATE("R",'Mapa final'!$A$21),"")</f>
        <v/>
      </c>
      <c r="O30" s="320"/>
      <c r="P30" s="310" t="str">
        <f ca="1">IF(AND('Mapa final'!$J$9="Baja",'Mapa final'!$N$9="Menor"),CONCATENATE("R",'Mapa final'!$A$9),"")</f>
        <v/>
      </c>
      <c r="Q30" s="310"/>
      <c r="R30" s="310" t="str">
        <f ca="1">IF(AND('Mapa final'!$J$15="Baja",'Mapa final'!$N$15="Menor"),CONCATENATE("R",'Mapa final'!$A$15),"")</f>
        <v/>
      </c>
      <c r="S30" s="310"/>
      <c r="T30" s="310" t="str">
        <f ca="1">IF(AND('Mapa final'!$J$21="Baja",'Mapa final'!$N$21="Menor"),CONCATENATE("R",'Mapa final'!$A$21),"")</f>
        <v>R3</v>
      </c>
      <c r="U30" s="311"/>
      <c r="V30" s="309" t="str">
        <f ca="1">IF(AND('Mapa final'!$J$9="Baja",'Mapa final'!$N$9="Moderado"),CONCATENATE("R",'Mapa final'!$A$9),"")</f>
        <v/>
      </c>
      <c r="W30" s="310"/>
      <c r="X30" s="310" t="str">
        <f ca="1">IF(AND('Mapa final'!$J$15="Baja",'Mapa final'!$N$15="Moderado"),CONCATENATE("R",'Mapa final'!$A$15),"")</f>
        <v/>
      </c>
      <c r="Y30" s="310"/>
      <c r="Z30" s="310" t="str">
        <f ca="1">IF(AND('Mapa final'!$J$21="Baja",'Mapa final'!$N$21="Moderado"),CONCATENATE("R",'Mapa final'!$A$21),"")</f>
        <v/>
      </c>
      <c r="AA30" s="311"/>
      <c r="AB30" s="284" t="str">
        <f ca="1">IF(AND('Mapa final'!$J$9="Baja",'Mapa final'!$N$9="Mayor"),CONCATENATE("R",'Mapa final'!$A$9),"")</f>
        <v/>
      </c>
      <c r="AC30" s="285"/>
      <c r="AD30" s="285" t="str">
        <f ca="1">IF(AND('Mapa final'!$J$15="Baja",'Mapa final'!$N$15="Mayor"),CONCATENATE("R",'Mapa final'!$A$15),"")</f>
        <v/>
      </c>
      <c r="AE30" s="285"/>
      <c r="AF30" s="285" t="str">
        <f ca="1">IF(AND('Mapa final'!$J$21="Baja",'Mapa final'!$N$21="Mayor"),CONCATENATE("R",'Mapa final'!$A$21),"")</f>
        <v/>
      </c>
      <c r="AG30" s="287"/>
      <c r="AH30" s="300" t="str">
        <f ca="1">IF(AND('Mapa final'!$J$9="Baja",'Mapa final'!$N$9="Catastrófico"),CONCATENATE("R",'Mapa final'!$A$9),"")</f>
        <v/>
      </c>
      <c r="AI30" s="301"/>
      <c r="AJ30" s="301" t="str">
        <f ca="1">IF(AND('Mapa final'!$J$15="Baja",'Mapa final'!$N$15="Catastrófico"),CONCATENATE("R",'Mapa final'!$A$15),"")</f>
        <v/>
      </c>
      <c r="AK30" s="301"/>
      <c r="AL30" s="301" t="str">
        <f ca="1">IF(AND('Mapa final'!$J$21="Baja",'Mapa final'!$N$21="Catastrófico"),CONCATENATE("R",'Mapa final'!$A$21),"")</f>
        <v/>
      </c>
      <c r="AM30" s="302"/>
      <c r="AN30" s="70"/>
      <c r="AO30" s="263" t="s">
        <v>78</v>
      </c>
      <c r="AP30" s="264"/>
      <c r="AQ30" s="264"/>
      <c r="AR30" s="264"/>
      <c r="AS30" s="264"/>
      <c r="AT30" s="265"/>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234"/>
      <c r="C31" s="234"/>
      <c r="D31" s="235"/>
      <c r="E31" s="275"/>
      <c r="F31" s="276"/>
      <c r="G31" s="276"/>
      <c r="H31" s="276"/>
      <c r="I31" s="289"/>
      <c r="J31" s="314"/>
      <c r="K31" s="312"/>
      <c r="L31" s="312"/>
      <c r="M31" s="312"/>
      <c r="N31" s="312"/>
      <c r="O31" s="313"/>
      <c r="P31" s="304"/>
      <c r="Q31" s="304"/>
      <c r="R31" s="304"/>
      <c r="S31" s="304"/>
      <c r="T31" s="304"/>
      <c r="U31" s="305"/>
      <c r="V31" s="303"/>
      <c r="W31" s="304"/>
      <c r="X31" s="304"/>
      <c r="Y31" s="304"/>
      <c r="Z31" s="304"/>
      <c r="AA31" s="305"/>
      <c r="AB31" s="286"/>
      <c r="AC31" s="283"/>
      <c r="AD31" s="283"/>
      <c r="AE31" s="283"/>
      <c r="AF31" s="283"/>
      <c r="AG31" s="282"/>
      <c r="AH31" s="294"/>
      <c r="AI31" s="295"/>
      <c r="AJ31" s="295"/>
      <c r="AK31" s="295"/>
      <c r="AL31" s="295"/>
      <c r="AM31" s="296"/>
      <c r="AN31" s="70"/>
      <c r="AO31" s="266"/>
      <c r="AP31" s="267"/>
      <c r="AQ31" s="267"/>
      <c r="AR31" s="267"/>
      <c r="AS31" s="267"/>
      <c r="AT31" s="268"/>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234"/>
      <c r="C32" s="234"/>
      <c r="D32" s="235"/>
      <c r="E32" s="275"/>
      <c r="F32" s="276"/>
      <c r="G32" s="276"/>
      <c r="H32" s="276"/>
      <c r="I32" s="289"/>
      <c r="J32" s="314" t="str">
        <f ca="1">IF(AND('Mapa final'!$J$27="Baja",'Mapa final'!$N$27="Leve"),CONCATENATE("R",'Mapa final'!$A$27),"")</f>
        <v/>
      </c>
      <c r="K32" s="312"/>
      <c r="L32" s="312" t="str">
        <f ca="1">IF(AND('Mapa final'!$J$33="Baja",'Mapa final'!$N$33="Leve"),CONCATENATE("R",'Mapa final'!$A$33),"")</f>
        <v/>
      </c>
      <c r="M32" s="312"/>
      <c r="N32" s="312" t="str">
        <f ca="1">IF(AND('Mapa final'!$J$39="Baja",'Mapa final'!$N$39="Leve"),CONCATENATE("R",'Mapa final'!$A$39),"")</f>
        <v/>
      </c>
      <c r="O32" s="313"/>
      <c r="P32" s="304" t="str">
        <f ca="1">IF(AND('Mapa final'!$J$27="Baja",'Mapa final'!$N$27="Menor"),CONCATENATE("R",'Mapa final'!$A$27),"")</f>
        <v/>
      </c>
      <c r="Q32" s="304"/>
      <c r="R32" s="304" t="str">
        <f ca="1">IF(AND('Mapa final'!$J$33="Baja",'Mapa final'!$N$33="Menor"),CONCATENATE("R",'Mapa final'!$A$33),"")</f>
        <v/>
      </c>
      <c r="S32" s="304"/>
      <c r="T32" s="304" t="str">
        <f ca="1">IF(AND('Mapa final'!$J$39="Baja",'Mapa final'!$N$39="Menor"),CONCATENATE("R",'Mapa final'!$A$39),"")</f>
        <v/>
      </c>
      <c r="U32" s="305"/>
      <c r="V32" s="303" t="str">
        <f ca="1">IF(AND('Mapa final'!$J$27="Baja",'Mapa final'!$N$27="Moderado"),CONCATENATE("R",'Mapa final'!$A$27),"")</f>
        <v/>
      </c>
      <c r="W32" s="304"/>
      <c r="X32" s="304" t="str">
        <f ca="1">IF(AND('Mapa final'!$J$33="Baja",'Mapa final'!$N$33="Moderado"),CONCATENATE("R",'Mapa final'!$A$33),"")</f>
        <v/>
      </c>
      <c r="Y32" s="304"/>
      <c r="Z32" s="304" t="str">
        <f ca="1">IF(AND('Mapa final'!$J$39="Baja",'Mapa final'!$N$39="Moderado"),CONCATENATE("R",'Mapa final'!$A$39),"")</f>
        <v/>
      </c>
      <c r="AA32" s="305"/>
      <c r="AB32" s="286" t="str">
        <f ca="1">IF(AND('Mapa final'!$J$27="Baja",'Mapa final'!$N$27="Mayor"),CONCATENATE("R",'Mapa final'!$A$27),"")</f>
        <v>R4</v>
      </c>
      <c r="AC32" s="283"/>
      <c r="AD32" s="281" t="str">
        <f ca="1">IF(AND('Mapa final'!$J$33="Baja",'Mapa final'!$N$33="Mayor"),CONCATENATE("R",'Mapa final'!$A$33),"")</f>
        <v/>
      </c>
      <c r="AE32" s="281"/>
      <c r="AF32" s="281" t="str">
        <f ca="1">IF(AND('Mapa final'!$J$39="Baja",'Mapa final'!$N$39="Mayor"),CONCATENATE("R",'Mapa final'!$A$39),"")</f>
        <v/>
      </c>
      <c r="AG32" s="282"/>
      <c r="AH32" s="294" t="str">
        <f ca="1">IF(AND('Mapa final'!$J$27="Baja",'Mapa final'!$N$27="Catastrófico"),CONCATENATE("R",'Mapa final'!$A$27),"")</f>
        <v/>
      </c>
      <c r="AI32" s="295"/>
      <c r="AJ32" s="295" t="str">
        <f ca="1">IF(AND('Mapa final'!$J$33="Baja",'Mapa final'!$N$33="Catastrófico"),CONCATENATE("R",'Mapa final'!$A$33),"")</f>
        <v/>
      </c>
      <c r="AK32" s="295"/>
      <c r="AL32" s="295" t="str">
        <f ca="1">IF(AND('Mapa final'!$J$39="Baja",'Mapa final'!$N$39="Catastrófico"),CONCATENATE("R",'Mapa final'!$A$39),"")</f>
        <v/>
      </c>
      <c r="AM32" s="296"/>
      <c r="AN32" s="70"/>
      <c r="AO32" s="266"/>
      <c r="AP32" s="267"/>
      <c r="AQ32" s="267"/>
      <c r="AR32" s="267"/>
      <c r="AS32" s="267"/>
      <c r="AT32" s="268"/>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234"/>
      <c r="C33" s="234"/>
      <c r="D33" s="235"/>
      <c r="E33" s="275"/>
      <c r="F33" s="276"/>
      <c r="G33" s="276"/>
      <c r="H33" s="276"/>
      <c r="I33" s="289"/>
      <c r="J33" s="314"/>
      <c r="K33" s="312"/>
      <c r="L33" s="312"/>
      <c r="M33" s="312"/>
      <c r="N33" s="312"/>
      <c r="O33" s="313"/>
      <c r="P33" s="304"/>
      <c r="Q33" s="304"/>
      <c r="R33" s="304"/>
      <c r="S33" s="304"/>
      <c r="T33" s="304"/>
      <c r="U33" s="305"/>
      <c r="V33" s="303"/>
      <c r="W33" s="304"/>
      <c r="X33" s="304"/>
      <c r="Y33" s="304"/>
      <c r="Z33" s="304"/>
      <c r="AA33" s="305"/>
      <c r="AB33" s="286"/>
      <c r="AC33" s="283"/>
      <c r="AD33" s="281"/>
      <c r="AE33" s="281"/>
      <c r="AF33" s="281"/>
      <c r="AG33" s="282"/>
      <c r="AH33" s="294"/>
      <c r="AI33" s="295"/>
      <c r="AJ33" s="295"/>
      <c r="AK33" s="295"/>
      <c r="AL33" s="295"/>
      <c r="AM33" s="296"/>
      <c r="AN33" s="70"/>
      <c r="AO33" s="266"/>
      <c r="AP33" s="267"/>
      <c r="AQ33" s="267"/>
      <c r="AR33" s="267"/>
      <c r="AS33" s="267"/>
      <c r="AT33" s="268"/>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234"/>
      <c r="C34" s="234"/>
      <c r="D34" s="235"/>
      <c r="E34" s="275"/>
      <c r="F34" s="276"/>
      <c r="G34" s="276"/>
      <c r="H34" s="276"/>
      <c r="I34" s="289"/>
      <c r="J34" s="314" t="str">
        <f ca="1">IF(AND('Mapa final'!$J$45="Baja",'Mapa final'!$N$45="Leve"),CONCATENATE("R",'Mapa final'!$A$45),"")</f>
        <v/>
      </c>
      <c r="K34" s="312"/>
      <c r="L34" s="312" t="str">
        <f ca="1">IF(AND('Mapa final'!$J$51="Baja",'Mapa final'!$N$51="Leve"),CONCATENATE("R",'Mapa final'!$A$51),"")</f>
        <v/>
      </c>
      <c r="M34" s="312"/>
      <c r="N34" s="312" t="str">
        <f ca="1">IF(AND('Mapa final'!$J$57="Baja",'Mapa final'!$N$57="Leve"),CONCATENATE("R",'Mapa final'!$A$57),"")</f>
        <v/>
      </c>
      <c r="O34" s="313"/>
      <c r="P34" s="304" t="str">
        <f ca="1">IF(AND('Mapa final'!$J$45="Baja",'Mapa final'!$N$45="Menor"),CONCATENATE("R",'Mapa final'!$A$45),"")</f>
        <v/>
      </c>
      <c r="Q34" s="304"/>
      <c r="R34" s="304" t="str">
        <f ca="1">IF(AND('Mapa final'!$J$51="Baja",'Mapa final'!$N$51="Menor"),CONCATENATE("R",'Mapa final'!$A$51),"")</f>
        <v/>
      </c>
      <c r="S34" s="304"/>
      <c r="T34" s="304" t="str">
        <f ca="1">IF(AND('Mapa final'!$J$57="Baja",'Mapa final'!$N$57="Menor"),CONCATENATE("R",'Mapa final'!$A$57),"")</f>
        <v/>
      </c>
      <c r="U34" s="305"/>
      <c r="V34" s="303" t="str">
        <f ca="1">IF(AND('Mapa final'!$J$45="Baja",'Mapa final'!$N$45="Moderado"),CONCATENATE("R",'Mapa final'!$A$45),"")</f>
        <v/>
      </c>
      <c r="W34" s="304"/>
      <c r="X34" s="304" t="str">
        <f ca="1">IF(AND('Mapa final'!$J$51="Baja",'Mapa final'!$N$51="Moderado"),CONCATENATE("R",'Mapa final'!$A$51),"")</f>
        <v/>
      </c>
      <c r="Y34" s="304"/>
      <c r="Z34" s="304" t="str">
        <f ca="1">IF(AND('Mapa final'!$J$57="Baja",'Mapa final'!$N$57="Moderado"),CONCATENATE("R",'Mapa final'!$A$57),"")</f>
        <v/>
      </c>
      <c r="AA34" s="305"/>
      <c r="AB34" s="286" t="str">
        <f ca="1">IF(AND('Mapa final'!$J$45="Baja",'Mapa final'!$N$45="Mayor"),CONCATENATE("R",'Mapa final'!$A$45),"")</f>
        <v/>
      </c>
      <c r="AC34" s="283"/>
      <c r="AD34" s="281" t="str">
        <f ca="1">IF(AND('Mapa final'!$J$51="Baja",'Mapa final'!$N$51="Mayor"),CONCATENATE("R",'Mapa final'!$A$51),"")</f>
        <v/>
      </c>
      <c r="AE34" s="281"/>
      <c r="AF34" s="281" t="str">
        <f ca="1">IF(AND('Mapa final'!$J$57="Baja",'Mapa final'!$N$57="Mayor"),CONCATENATE("R",'Mapa final'!$A$57),"")</f>
        <v/>
      </c>
      <c r="AG34" s="282"/>
      <c r="AH34" s="294" t="str">
        <f ca="1">IF(AND('Mapa final'!$J$45="Baja",'Mapa final'!$N$45="Catastrófico"),CONCATENATE("R",'Mapa final'!$A$45),"")</f>
        <v/>
      </c>
      <c r="AI34" s="295"/>
      <c r="AJ34" s="295" t="str">
        <f ca="1">IF(AND('Mapa final'!$J$51="Baja",'Mapa final'!$N$51="Catastrófico"),CONCATENATE("R",'Mapa final'!$A$51),"")</f>
        <v/>
      </c>
      <c r="AK34" s="295"/>
      <c r="AL34" s="295" t="str">
        <f ca="1">IF(AND('Mapa final'!$J$57="Baja",'Mapa final'!$N$57="Catastrófico"),CONCATENATE("R",'Mapa final'!$A$57),"")</f>
        <v/>
      </c>
      <c r="AM34" s="296"/>
      <c r="AN34" s="70"/>
      <c r="AO34" s="266"/>
      <c r="AP34" s="267"/>
      <c r="AQ34" s="267"/>
      <c r="AR34" s="267"/>
      <c r="AS34" s="267"/>
      <c r="AT34" s="268"/>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234"/>
      <c r="C35" s="234"/>
      <c r="D35" s="235"/>
      <c r="E35" s="275"/>
      <c r="F35" s="276"/>
      <c r="G35" s="276"/>
      <c r="H35" s="276"/>
      <c r="I35" s="289"/>
      <c r="J35" s="314"/>
      <c r="K35" s="312"/>
      <c r="L35" s="312"/>
      <c r="M35" s="312"/>
      <c r="N35" s="312"/>
      <c r="O35" s="313"/>
      <c r="P35" s="304"/>
      <c r="Q35" s="304"/>
      <c r="R35" s="304"/>
      <c r="S35" s="304"/>
      <c r="T35" s="304"/>
      <c r="U35" s="305"/>
      <c r="V35" s="303"/>
      <c r="W35" s="304"/>
      <c r="X35" s="304"/>
      <c r="Y35" s="304"/>
      <c r="Z35" s="304"/>
      <c r="AA35" s="305"/>
      <c r="AB35" s="286"/>
      <c r="AC35" s="283"/>
      <c r="AD35" s="281"/>
      <c r="AE35" s="281"/>
      <c r="AF35" s="281"/>
      <c r="AG35" s="282"/>
      <c r="AH35" s="294"/>
      <c r="AI35" s="295"/>
      <c r="AJ35" s="295"/>
      <c r="AK35" s="295"/>
      <c r="AL35" s="295"/>
      <c r="AM35" s="296"/>
      <c r="AN35" s="70"/>
      <c r="AO35" s="266"/>
      <c r="AP35" s="267"/>
      <c r="AQ35" s="267"/>
      <c r="AR35" s="267"/>
      <c r="AS35" s="267"/>
      <c r="AT35" s="268"/>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234"/>
      <c r="C36" s="234"/>
      <c r="D36" s="235"/>
      <c r="E36" s="275"/>
      <c r="F36" s="276"/>
      <c r="G36" s="276"/>
      <c r="H36" s="276"/>
      <c r="I36" s="289"/>
      <c r="J36" s="314" t="str">
        <f ca="1">IF(AND('Mapa final'!$J$63="Baja",'Mapa final'!$N$63="Leve"),CONCATENATE("R",'Mapa final'!$A$63),"")</f>
        <v/>
      </c>
      <c r="K36" s="312"/>
      <c r="L36" s="312" t="str">
        <f>IF(AND('Mapa final'!$J$70="Baja",'Mapa final'!$N$70="Leve"),CONCATENATE("R",'Mapa final'!$A$70),"")</f>
        <v/>
      </c>
      <c r="M36" s="312"/>
      <c r="N36" s="312" t="str">
        <f>IF(AND('Mapa final'!$J$76="Baja",'Mapa final'!$N$76="Leve"),CONCATENATE("R",'Mapa final'!$A$76),"")</f>
        <v/>
      </c>
      <c r="O36" s="313"/>
      <c r="P36" s="304" t="str">
        <f ca="1">IF(AND('Mapa final'!$J$63="Baja",'Mapa final'!$N$63="Menor"),CONCATENATE("R",'Mapa final'!$A$63),"")</f>
        <v/>
      </c>
      <c r="Q36" s="304"/>
      <c r="R36" s="304" t="str">
        <f>IF(AND('Mapa final'!$J$70="Baja",'Mapa final'!$N$70="Menor"),CONCATENATE("R",'Mapa final'!$A$70),"")</f>
        <v/>
      </c>
      <c r="S36" s="304"/>
      <c r="T36" s="304" t="str">
        <f>IF(AND('Mapa final'!$J$76="Baja",'Mapa final'!$N$76="Menor"),CONCATENATE("R",'Mapa final'!$A$76),"")</f>
        <v/>
      </c>
      <c r="U36" s="305"/>
      <c r="V36" s="303" t="str">
        <f ca="1">IF(AND('Mapa final'!$J$63="Baja",'Mapa final'!$N$63="Moderado"),CONCATENATE("R",'Mapa final'!$A$63),"")</f>
        <v/>
      </c>
      <c r="W36" s="304"/>
      <c r="X36" s="304" t="str">
        <f>IF(AND('Mapa final'!$J$70="Baja",'Mapa final'!$N$70="Moderado"),CONCATENATE("R",'Mapa final'!$A$70),"")</f>
        <v/>
      </c>
      <c r="Y36" s="304"/>
      <c r="Z36" s="304" t="str">
        <f>IF(AND('Mapa final'!$J$76="Baja",'Mapa final'!$N$76="Moderado"),CONCATENATE("R",'Mapa final'!$A$76),"")</f>
        <v/>
      </c>
      <c r="AA36" s="305"/>
      <c r="AB36" s="286" t="str">
        <f ca="1">IF(AND('Mapa final'!$J$63="Baja",'Mapa final'!$N$63="Mayor"),CONCATENATE("R",'Mapa final'!$A$63),"")</f>
        <v/>
      </c>
      <c r="AC36" s="283"/>
      <c r="AD36" s="281" t="str">
        <f>IF(AND('Mapa final'!$J$70="Baja",'Mapa final'!$N$70="Mayor"),CONCATENATE("R",'Mapa final'!$A$70),"")</f>
        <v/>
      </c>
      <c r="AE36" s="281"/>
      <c r="AF36" s="281" t="str">
        <f>IF(AND('Mapa final'!$J$76="Baja",'Mapa final'!$N$76="Mayor"),CONCATENATE("R",'Mapa final'!$A$76),"")</f>
        <v/>
      </c>
      <c r="AG36" s="282"/>
      <c r="AH36" s="294" t="str">
        <f ca="1">IF(AND('Mapa final'!$J$63="Baja",'Mapa final'!$N$63="Catastrófico"),CONCATENATE("R",'Mapa final'!$A$63),"")</f>
        <v/>
      </c>
      <c r="AI36" s="295"/>
      <c r="AJ36" s="295" t="str">
        <f>IF(AND('Mapa final'!$J$70="Baja",'Mapa final'!$N$70="Catastrófico"),CONCATENATE("R",'Mapa final'!$A$70),"")</f>
        <v/>
      </c>
      <c r="AK36" s="295"/>
      <c r="AL36" s="295" t="str">
        <f>IF(AND('Mapa final'!$J$76="Baja",'Mapa final'!$N$76="Catastrófico"),CONCATENATE("R",'Mapa final'!$A$76),"")</f>
        <v/>
      </c>
      <c r="AM36" s="296"/>
      <c r="AN36" s="70"/>
      <c r="AO36" s="266"/>
      <c r="AP36" s="267"/>
      <c r="AQ36" s="267"/>
      <c r="AR36" s="267"/>
      <c r="AS36" s="267"/>
      <c r="AT36" s="268"/>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234"/>
      <c r="C37" s="234"/>
      <c r="D37" s="235"/>
      <c r="E37" s="278"/>
      <c r="F37" s="279"/>
      <c r="G37" s="279"/>
      <c r="H37" s="279"/>
      <c r="I37" s="279"/>
      <c r="J37" s="315"/>
      <c r="K37" s="316"/>
      <c r="L37" s="316"/>
      <c r="M37" s="316"/>
      <c r="N37" s="316"/>
      <c r="O37" s="317"/>
      <c r="P37" s="307"/>
      <c r="Q37" s="307"/>
      <c r="R37" s="307"/>
      <c r="S37" s="307"/>
      <c r="T37" s="307"/>
      <c r="U37" s="308"/>
      <c r="V37" s="306"/>
      <c r="W37" s="307"/>
      <c r="X37" s="307"/>
      <c r="Y37" s="307"/>
      <c r="Z37" s="307"/>
      <c r="AA37" s="308"/>
      <c r="AB37" s="291"/>
      <c r="AC37" s="292"/>
      <c r="AD37" s="292"/>
      <c r="AE37" s="292"/>
      <c r="AF37" s="292"/>
      <c r="AG37" s="293"/>
      <c r="AH37" s="297"/>
      <c r="AI37" s="298"/>
      <c r="AJ37" s="298"/>
      <c r="AK37" s="298"/>
      <c r="AL37" s="298"/>
      <c r="AM37" s="299"/>
      <c r="AN37" s="70"/>
      <c r="AO37" s="269"/>
      <c r="AP37" s="270"/>
      <c r="AQ37" s="270"/>
      <c r="AR37" s="270"/>
      <c r="AS37" s="270"/>
      <c r="AT37" s="271"/>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234"/>
      <c r="C38" s="234"/>
      <c r="D38" s="235"/>
      <c r="E38" s="272" t="s">
        <v>109</v>
      </c>
      <c r="F38" s="273"/>
      <c r="G38" s="273"/>
      <c r="H38" s="273"/>
      <c r="I38" s="274"/>
      <c r="J38" s="318" t="str">
        <f ca="1">IF(AND('Mapa final'!$J$9="Muy Baja",'Mapa final'!$N$9="Leve"),CONCATENATE("R",'Mapa final'!$A$9),"")</f>
        <v/>
      </c>
      <c r="K38" s="319"/>
      <c r="L38" s="319" t="str">
        <f ca="1">IF(AND('Mapa final'!$J$15="Muy Baja",'Mapa final'!$N$15="Leve"),CONCATENATE("R",'Mapa final'!$A$15),"")</f>
        <v/>
      </c>
      <c r="M38" s="319"/>
      <c r="N38" s="319" t="str">
        <f ca="1">IF(AND('Mapa final'!$J$21="Muy Baja",'Mapa final'!$N$21="Leve"),CONCATENATE("R",'Mapa final'!$A$21),"")</f>
        <v/>
      </c>
      <c r="O38" s="320"/>
      <c r="P38" s="318" t="str">
        <f ca="1">IF(AND('Mapa final'!$J$9="Muy Baja",'Mapa final'!$N$9="Menor"),CONCATENATE("R",'Mapa final'!$A$9),"")</f>
        <v/>
      </c>
      <c r="Q38" s="319"/>
      <c r="R38" s="319" t="str">
        <f ca="1">IF(AND('Mapa final'!$J$15="Muy Baja",'Mapa final'!$N$15="Menor"),CONCATENATE("R",'Mapa final'!$A$15),"")</f>
        <v/>
      </c>
      <c r="S38" s="319"/>
      <c r="T38" s="319" t="str">
        <f ca="1">IF(AND('Mapa final'!$J$21="Muy Baja",'Mapa final'!$N$21="Menor"),CONCATENATE("R",'Mapa final'!$A$21),"")</f>
        <v/>
      </c>
      <c r="U38" s="320"/>
      <c r="V38" s="309" t="str">
        <f ca="1">IF(AND('Mapa final'!$J$9="Muy Baja",'Mapa final'!$N$9="Moderado"),CONCATENATE("R",'Mapa final'!$A$9),"")</f>
        <v/>
      </c>
      <c r="W38" s="310"/>
      <c r="X38" s="310" t="str">
        <f ca="1">IF(AND('Mapa final'!$J$15="Muy Baja",'Mapa final'!$N$15="Moderado"),CONCATENATE("R",'Mapa final'!$A$15),"")</f>
        <v/>
      </c>
      <c r="Y38" s="310"/>
      <c r="Z38" s="310" t="str">
        <f ca="1">IF(AND('Mapa final'!$J$21="Muy Baja",'Mapa final'!$N$21="Moderado"),CONCATENATE("R",'Mapa final'!$A$21),"")</f>
        <v/>
      </c>
      <c r="AA38" s="311"/>
      <c r="AB38" s="284" t="str">
        <f ca="1">IF(AND('Mapa final'!$J$9="Muy Baja",'Mapa final'!$N$9="Mayor"),CONCATENATE("R",'Mapa final'!$A$9),"")</f>
        <v/>
      </c>
      <c r="AC38" s="285"/>
      <c r="AD38" s="285" t="str">
        <f ca="1">IF(AND('Mapa final'!$J$15="Muy Baja",'Mapa final'!$N$15="Mayor"),CONCATENATE("R",'Mapa final'!$A$15),"")</f>
        <v/>
      </c>
      <c r="AE38" s="285"/>
      <c r="AF38" s="285" t="str">
        <f ca="1">IF(AND('Mapa final'!$J$21="Muy Baja",'Mapa final'!$N$21="Mayor"),CONCATENATE("R",'Mapa final'!$A$21),"")</f>
        <v/>
      </c>
      <c r="AG38" s="287"/>
      <c r="AH38" s="300" t="str">
        <f ca="1">IF(AND('Mapa final'!$J$9="Muy Baja",'Mapa final'!$N$9="Catastrófico"),CONCATENATE("R",'Mapa final'!$A$9),"")</f>
        <v/>
      </c>
      <c r="AI38" s="301"/>
      <c r="AJ38" s="301" t="str">
        <f ca="1">IF(AND('Mapa final'!$J$15="Muy Baja",'Mapa final'!$N$15="Catastrófico"),CONCATENATE("R",'Mapa final'!$A$15),"")</f>
        <v/>
      </c>
      <c r="AK38" s="301"/>
      <c r="AL38" s="301" t="str">
        <f ca="1">IF(AND('Mapa final'!$J$21="Muy Baja",'Mapa final'!$N$21="Catastrófico"),CONCATENATE("R",'Mapa final'!$A$21),"")</f>
        <v/>
      </c>
      <c r="AM38" s="302"/>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234"/>
      <c r="C39" s="234"/>
      <c r="D39" s="235"/>
      <c r="E39" s="275"/>
      <c r="F39" s="276"/>
      <c r="G39" s="276"/>
      <c r="H39" s="276"/>
      <c r="I39" s="277"/>
      <c r="J39" s="314"/>
      <c r="K39" s="312"/>
      <c r="L39" s="312"/>
      <c r="M39" s="312"/>
      <c r="N39" s="312"/>
      <c r="O39" s="313"/>
      <c r="P39" s="314"/>
      <c r="Q39" s="312"/>
      <c r="R39" s="312"/>
      <c r="S39" s="312"/>
      <c r="T39" s="312"/>
      <c r="U39" s="313"/>
      <c r="V39" s="303"/>
      <c r="W39" s="304"/>
      <c r="X39" s="304"/>
      <c r="Y39" s="304"/>
      <c r="Z39" s="304"/>
      <c r="AA39" s="305"/>
      <c r="AB39" s="286"/>
      <c r="AC39" s="283"/>
      <c r="AD39" s="283"/>
      <c r="AE39" s="283"/>
      <c r="AF39" s="283"/>
      <c r="AG39" s="282"/>
      <c r="AH39" s="294"/>
      <c r="AI39" s="295"/>
      <c r="AJ39" s="295"/>
      <c r="AK39" s="295"/>
      <c r="AL39" s="295"/>
      <c r="AM39" s="296"/>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234"/>
      <c r="C40" s="234"/>
      <c r="D40" s="235"/>
      <c r="E40" s="275"/>
      <c r="F40" s="276"/>
      <c r="G40" s="276"/>
      <c r="H40" s="276"/>
      <c r="I40" s="277"/>
      <c r="J40" s="314" t="str">
        <f ca="1">IF(AND('Mapa final'!$J$27="Muy Baja",'Mapa final'!$N$27="Leve"),CONCATENATE("R",'Mapa final'!$A$27),"")</f>
        <v/>
      </c>
      <c r="K40" s="312"/>
      <c r="L40" s="312" t="str">
        <f ca="1">IF(AND('Mapa final'!$J$33="Muy Baja",'Mapa final'!$N$33="Leve"),CONCATENATE("R",'Mapa final'!$A$33),"")</f>
        <v/>
      </c>
      <c r="M40" s="312"/>
      <c r="N40" s="312" t="str">
        <f ca="1">IF(AND('Mapa final'!$J$39="Muy Baja",'Mapa final'!$N$39="Leve"),CONCATENATE("R",'Mapa final'!$A$39),"")</f>
        <v/>
      </c>
      <c r="O40" s="313"/>
      <c r="P40" s="314" t="str">
        <f ca="1">IF(AND('Mapa final'!$J$27="Muy Baja",'Mapa final'!$N$27="Menor"),CONCATENATE("R",'Mapa final'!$A$27),"")</f>
        <v/>
      </c>
      <c r="Q40" s="312"/>
      <c r="R40" s="312" t="str">
        <f ca="1">IF(AND('Mapa final'!$J$33="Muy Baja",'Mapa final'!$N$33="Menor"),CONCATENATE("R",'Mapa final'!$A$33),"")</f>
        <v/>
      </c>
      <c r="S40" s="312"/>
      <c r="T40" s="312" t="str">
        <f ca="1">IF(AND('Mapa final'!$J$39="Muy Baja",'Mapa final'!$N$39="Menor"),CONCATENATE("R",'Mapa final'!$A$39),"")</f>
        <v/>
      </c>
      <c r="U40" s="313"/>
      <c r="V40" s="303" t="str">
        <f ca="1">IF(AND('Mapa final'!$J$27="Muy Baja",'Mapa final'!$N$27="Moderado"),CONCATENATE("R",'Mapa final'!$A$27),"")</f>
        <v/>
      </c>
      <c r="W40" s="304"/>
      <c r="X40" s="304" t="str">
        <f ca="1">IF(AND('Mapa final'!$J$33="Muy Baja",'Mapa final'!$N$33="Moderado"),CONCATENATE("R",'Mapa final'!$A$33),"")</f>
        <v/>
      </c>
      <c r="Y40" s="304"/>
      <c r="Z40" s="304" t="str">
        <f ca="1">IF(AND('Mapa final'!$J$39="Muy Baja",'Mapa final'!$N$39="Moderado"),CONCATENATE("R",'Mapa final'!$A$39),"")</f>
        <v/>
      </c>
      <c r="AA40" s="305"/>
      <c r="AB40" s="286" t="str">
        <f ca="1">IF(AND('Mapa final'!$J$27="Muy Baja",'Mapa final'!$N$27="Mayor"),CONCATENATE("R",'Mapa final'!$A$27),"")</f>
        <v/>
      </c>
      <c r="AC40" s="283"/>
      <c r="AD40" s="281" t="str">
        <f ca="1">IF(AND('Mapa final'!$J$33="Muy Baja",'Mapa final'!$N$33="Mayor"),CONCATENATE("R",'Mapa final'!$A$33),"")</f>
        <v/>
      </c>
      <c r="AE40" s="281"/>
      <c r="AF40" s="281" t="str">
        <f ca="1">IF(AND('Mapa final'!$J$39="Muy Baja",'Mapa final'!$N$39="Mayor"),CONCATENATE("R",'Mapa final'!$A$39),"")</f>
        <v/>
      </c>
      <c r="AG40" s="282"/>
      <c r="AH40" s="294" t="str">
        <f ca="1">IF(AND('Mapa final'!$J$27="Muy Baja",'Mapa final'!$N$27="Catastrófico"),CONCATENATE("R",'Mapa final'!$A$27),"")</f>
        <v/>
      </c>
      <c r="AI40" s="295"/>
      <c r="AJ40" s="295" t="str">
        <f ca="1">IF(AND('Mapa final'!$J$33="Muy Baja",'Mapa final'!$N$33="Catastrófico"),CONCATENATE("R",'Mapa final'!$A$33),"")</f>
        <v/>
      </c>
      <c r="AK40" s="295"/>
      <c r="AL40" s="295" t="str">
        <f ca="1">IF(AND('Mapa final'!$J$39="Muy Baja",'Mapa final'!$N$39="Catastrófico"),CONCATENATE("R",'Mapa final'!$A$39),"")</f>
        <v/>
      </c>
      <c r="AM40" s="296"/>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234"/>
      <c r="C41" s="234"/>
      <c r="D41" s="235"/>
      <c r="E41" s="275"/>
      <c r="F41" s="276"/>
      <c r="G41" s="276"/>
      <c r="H41" s="276"/>
      <c r="I41" s="277"/>
      <c r="J41" s="314"/>
      <c r="K41" s="312"/>
      <c r="L41" s="312"/>
      <c r="M41" s="312"/>
      <c r="N41" s="312"/>
      <c r="O41" s="313"/>
      <c r="P41" s="314"/>
      <c r="Q41" s="312"/>
      <c r="R41" s="312"/>
      <c r="S41" s="312"/>
      <c r="T41" s="312"/>
      <c r="U41" s="313"/>
      <c r="V41" s="303"/>
      <c r="W41" s="304"/>
      <c r="X41" s="304"/>
      <c r="Y41" s="304"/>
      <c r="Z41" s="304"/>
      <c r="AA41" s="305"/>
      <c r="AB41" s="286"/>
      <c r="AC41" s="283"/>
      <c r="AD41" s="281"/>
      <c r="AE41" s="281"/>
      <c r="AF41" s="281"/>
      <c r="AG41" s="282"/>
      <c r="AH41" s="294"/>
      <c r="AI41" s="295"/>
      <c r="AJ41" s="295"/>
      <c r="AK41" s="295"/>
      <c r="AL41" s="295"/>
      <c r="AM41" s="296"/>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234"/>
      <c r="C42" s="234"/>
      <c r="D42" s="235"/>
      <c r="E42" s="275"/>
      <c r="F42" s="276"/>
      <c r="G42" s="276"/>
      <c r="H42" s="276"/>
      <c r="I42" s="277"/>
      <c r="J42" s="314" t="str">
        <f ca="1">IF(AND('Mapa final'!$J$45="Muy Baja",'Mapa final'!$N$45="Leve"),CONCATENATE("R",'Mapa final'!$A$45),"")</f>
        <v/>
      </c>
      <c r="K42" s="312"/>
      <c r="L42" s="312" t="str">
        <f ca="1">IF(AND('Mapa final'!$J$51="Muy Baja",'Mapa final'!$N$51="Leve"),CONCATENATE("R",'Mapa final'!$A$51),"")</f>
        <v/>
      </c>
      <c r="M42" s="312"/>
      <c r="N42" s="312" t="str">
        <f ca="1">IF(AND('Mapa final'!$J$57="Muy Baja",'Mapa final'!$N$57="Leve"),CONCATENATE("R",'Mapa final'!$A$57),"")</f>
        <v/>
      </c>
      <c r="O42" s="313"/>
      <c r="P42" s="314" t="str">
        <f ca="1">IF(AND('Mapa final'!$J$45="Muy Baja",'Mapa final'!$N$45="Menor"),CONCATENATE("R",'Mapa final'!$A$45),"")</f>
        <v/>
      </c>
      <c r="Q42" s="312"/>
      <c r="R42" s="312" t="str">
        <f ca="1">IF(AND('Mapa final'!$J$51="Muy Baja",'Mapa final'!$N$51="Menor"),CONCATENATE("R",'Mapa final'!$A$51),"")</f>
        <v/>
      </c>
      <c r="S42" s="312"/>
      <c r="T42" s="312" t="str">
        <f ca="1">IF(AND('Mapa final'!$J$57="Muy Baja",'Mapa final'!$N$57="Menor"),CONCATENATE("R",'Mapa final'!$A$57),"")</f>
        <v/>
      </c>
      <c r="U42" s="313"/>
      <c r="V42" s="303" t="str">
        <f ca="1">IF(AND('Mapa final'!$J$45="Muy Baja",'Mapa final'!$N$45="Moderado"),CONCATENATE("R",'Mapa final'!$A$45),"")</f>
        <v/>
      </c>
      <c r="W42" s="304"/>
      <c r="X42" s="304" t="str">
        <f ca="1">IF(AND('Mapa final'!$J$51="Muy Baja",'Mapa final'!$N$51="Moderado"),CONCATENATE("R",'Mapa final'!$A$51),"")</f>
        <v/>
      </c>
      <c r="Y42" s="304"/>
      <c r="Z42" s="304" t="str">
        <f ca="1">IF(AND('Mapa final'!$J$57="Muy Baja",'Mapa final'!$N$57="Moderado"),CONCATENATE("R",'Mapa final'!$A$57),"")</f>
        <v/>
      </c>
      <c r="AA42" s="305"/>
      <c r="AB42" s="286" t="str">
        <f ca="1">IF(AND('Mapa final'!$J$45="Muy Baja",'Mapa final'!$N$45="Mayor"),CONCATENATE("R",'Mapa final'!$A$45),"")</f>
        <v/>
      </c>
      <c r="AC42" s="283"/>
      <c r="AD42" s="281" t="str">
        <f ca="1">IF(AND('Mapa final'!$J$51="Muy Baja",'Mapa final'!$N$51="Mayor"),CONCATENATE("R",'Mapa final'!$A$51),"")</f>
        <v/>
      </c>
      <c r="AE42" s="281"/>
      <c r="AF42" s="281" t="str">
        <f ca="1">IF(AND('Mapa final'!$J$57="Muy Baja",'Mapa final'!$N$57="Mayor"),CONCATENATE("R",'Mapa final'!$A$57),"")</f>
        <v/>
      </c>
      <c r="AG42" s="282"/>
      <c r="AH42" s="294" t="str">
        <f ca="1">IF(AND('Mapa final'!$J$45="Muy Baja",'Mapa final'!$N$45="Catastrófico"),CONCATENATE("R",'Mapa final'!$A$45),"")</f>
        <v/>
      </c>
      <c r="AI42" s="295"/>
      <c r="AJ42" s="295" t="str">
        <f ca="1">IF(AND('Mapa final'!$J$51="Muy Baja",'Mapa final'!$N$51="Catastrófico"),CONCATENATE("R",'Mapa final'!$A$51),"")</f>
        <v/>
      </c>
      <c r="AK42" s="295"/>
      <c r="AL42" s="295" t="str">
        <f ca="1">IF(AND('Mapa final'!$J$57="Muy Baja",'Mapa final'!$N$57="Catastrófico"),CONCATENATE("R",'Mapa final'!$A$57),"")</f>
        <v/>
      </c>
      <c r="AM42" s="296"/>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234"/>
      <c r="C43" s="234"/>
      <c r="D43" s="235"/>
      <c r="E43" s="275"/>
      <c r="F43" s="276"/>
      <c r="G43" s="276"/>
      <c r="H43" s="276"/>
      <c r="I43" s="277"/>
      <c r="J43" s="314"/>
      <c r="K43" s="312"/>
      <c r="L43" s="312"/>
      <c r="M43" s="312"/>
      <c r="N43" s="312"/>
      <c r="O43" s="313"/>
      <c r="P43" s="314"/>
      <c r="Q43" s="312"/>
      <c r="R43" s="312"/>
      <c r="S43" s="312"/>
      <c r="T43" s="312"/>
      <c r="U43" s="313"/>
      <c r="V43" s="303"/>
      <c r="W43" s="304"/>
      <c r="X43" s="304"/>
      <c r="Y43" s="304"/>
      <c r="Z43" s="304"/>
      <c r="AA43" s="305"/>
      <c r="AB43" s="286"/>
      <c r="AC43" s="283"/>
      <c r="AD43" s="281"/>
      <c r="AE43" s="281"/>
      <c r="AF43" s="281"/>
      <c r="AG43" s="282"/>
      <c r="AH43" s="294"/>
      <c r="AI43" s="295"/>
      <c r="AJ43" s="295"/>
      <c r="AK43" s="295"/>
      <c r="AL43" s="295"/>
      <c r="AM43" s="296"/>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234"/>
      <c r="C44" s="234"/>
      <c r="D44" s="235"/>
      <c r="E44" s="275"/>
      <c r="F44" s="276"/>
      <c r="G44" s="276"/>
      <c r="H44" s="276"/>
      <c r="I44" s="277"/>
      <c r="J44" s="314" t="str">
        <f ca="1">IF(AND('Mapa final'!$J$63="Muy Baja",'Mapa final'!$N$63="Leve"),CONCATENATE("R",'Mapa final'!$A$63),"")</f>
        <v/>
      </c>
      <c r="K44" s="312"/>
      <c r="L44" s="312" t="str">
        <f>IF(AND('Mapa final'!$J$70="Muy Baja",'Mapa final'!$N$70="Leve"),CONCATENATE("R",'Mapa final'!$A$70),"")</f>
        <v/>
      </c>
      <c r="M44" s="312"/>
      <c r="N44" s="312" t="str">
        <f>IF(AND('Mapa final'!$J$76="Muy Baja",'Mapa final'!$N$76="Leve"),CONCATENATE("R",'Mapa final'!$A$76),"")</f>
        <v/>
      </c>
      <c r="O44" s="313"/>
      <c r="P44" s="314" t="str">
        <f ca="1">IF(AND('Mapa final'!$J$63="Muy Baja",'Mapa final'!$N$63="Menor"),CONCATENATE("R",'Mapa final'!$A$63),"")</f>
        <v/>
      </c>
      <c r="Q44" s="312"/>
      <c r="R44" s="312" t="str">
        <f>IF(AND('Mapa final'!$J$70="Muy Baja",'Mapa final'!$N$70="Menor"),CONCATENATE("R",'Mapa final'!$A$70),"")</f>
        <v/>
      </c>
      <c r="S44" s="312"/>
      <c r="T44" s="312" t="str">
        <f>IF(AND('Mapa final'!$J$76="Muy Baja",'Mapa final'!$N$76="Menor"),CONCATENATE("R",'Mapa final'!$A$76),"")</f>
        <v/>
      </c>
      <c r="U44" s="313"/>
      <c r="V44" s="303" t="str">
        <f ca="1">IF(AND('Mapa final'!$J$63="Muy Baja",'Mapa final'!$N$63="Moderado"),CONCATENATE("R",'Mapa final'!$A$63),"")</f>
        <v/>
      </c>
      <c r="W44" s="304"/>
      <c r="X44" s="304" t="str">
        <f>IF(AND('Mapa final'!$J$70="Muy Baja",'Mapa final'!$N$70="Moderado"),CONCATENATE("R",'Mapa final'!$A$70),"")</f>
        <v/>
      </c>
      <c r="Y44" s="304"/>
      <c r="Z44" s="304" t="str">
        <f>IF(AND('Mapa final'!$J$76="Muy Baja",'Mapa final'!$N$76="Moderado"),CONCATENATE("R",'Mapa final'!$A$76),"")</f>
        <v/>
      </c>
      <c r="AA44" s="305"/>
      <c r="AB44" s="286" t="str">
        <f ca="1">IF(AND('Mapa final'!$J$63="Muy Baja",'Mapa final'!$N$63="Mayor"),CONCATENATE("R",'Mapa final'!$A$63),"")</f>
        <v/>
      </c>
      <c r="AC44" s="283"/>
      <c r="AD44" s="281" t="str">
        <f>IF(AND('Mapa final'!$J$70="Muy Baja",'Mapa final'!$N$70="Mayor"),CONCATENATE("R",'Mapa final'!$A$70),"")</f>
        <v/>
      </c>
      <c r="AE44" s="281"/>
      <c r="AF44" s="281" t="str">
        <f>IF(AND('Mapa final'!$J$76="Muy Baja",'Mapa final'!$N$76="Mayor"),CONCATENATE("R",'Mapa final'!$A$76),"")</f>
        <v/>
      </c>
      <c r="AG44" s="282"/>
      <c r="AH44" s="294" t="str">
        <f ca="1">IF(AND('Mapa final'!$J$63="Muy Baja",'Mapa final'!$N$63="Catastrófico"),CONCATENATE("R",'Mapa final'!$A$63),"")</f>
        <v/>
      </c>
      <c r="AI44" s="295"/>
      <c r="AJ44" s="295" t="str">
        <f>IF(AND('Mapa final'!$J$70="Muy Baja",'Mapa final'!$N$70="Catastrófico"),CONCATENATE("R",'Mapa final'!$A$70),"")</f>
        <v/>
      </c>
      <c r="AK44" s="295"/>
      <c r="AL44" s="295" t="str">
        <f>IF(AND('Mapa final'!$J$76="Muy Baja",'Mapa final'!$N$76="Catastrófico"),CONCATENATE("R",'Mapa final'!$A$76),"")</f>
        <v/>
      </c>
      <c r="AM44" s="296"/>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234"/>
      <c r="C45" s="234"/>
      <c r="D45" s="235"/>
      <c r="E45" s="278"/>
      <c r="F45" s="279"/>
      <c r="G45" s="279"/>
      <c r="H45" s="279"/>
      <c r="I45" s="280"/>
      <c r="J45" s="315"/>
      <c r="K45" s="316"/>
      <c r="L45" s="316"/>
      <c r="M45" s="316"/>
      <c r="N45" s="316"/>
      <c r="O45" s="317"/>
      <c r="P45" s="315"/>
      <c r="Q45" s="316"/>
      <c r="R45" s="316"/>
      <c r="S45" s="316"/>
      <c r="T45" s="316"/>
      <c r="U45" s="317"/>
      <c r="V45" s="306"/>
      <c r="W45" s="307"/>
      <c r="X45" s="307"/>
      <c r="Y45" s="307"/>
      <c r="Z45" s="307"/>
      <c r="AA45" s="308"/>
      <c r="AB45" s="291"/>
      <c r="AC45" s="292"/>
      <c r="AD45" s="292"/>
      <c r="AE45" s="292"/>
      <c r="AF45" s="292"/>
      <c r="AG45" s="293"/>
      <c r="AH45" s="297"/>
      <c r="AI45" s="298"/>
      <c r="AJ45" s="298"/>
      <c r="AK45" s="298"/>
      <c r="AL45" s="298"/>
      <c r="AM45" s="299"/>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72" t="s">
        <v>108</v>
      </c>
      <c r="K46" s="273"/>
      <c r="L46" s="273"/>
      <c r="M46" s="273"/>
      <c r="N46" s="273"/>
      <c r="O46" s="274"/>
      <c r="P46" s="272" t="s">
        <v>107</v>
      </c>
      <c r="Q46" s="273"/>
      <c r="R46" s="273"/>
      <c r="S46" s="273"/>
      <c r="T46" s="273"/>
      <c r="U46" s="274"/>
      <c r="V46" s="272" t="s">
        <v>106</v>
      </c>
      <c r="W46" s="273"/>
      <c r="X46" s="273"/>
      <c r="Y46" s="273"/>
      <c r="Z46" s="273"/>
      <c r="AA46" s="274"/>
      <c r="AB46" s="272" t="s">
        <v>105</v>
      </c>
      <c r="AC46" s="290"/>
      <c r="AD46" s="273"/>
      <c r="AE46" s="273"/>
      <c r="AF46" s="273"/>
      <c r="AG46" s="274"/>
      <c r="AH46" s="272" t="s">
        <v>104</v>
      </c>
      <c r="AI46" s="273"/>
      <c r="AJ46" s="273"/>
      <c r="AK46" s="273"/>
      <c r="AL46" s="273"/>
      <c r="AM46" s="274"/>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75"/>
      <c r="K47" s="276"/>
      <c r="L47" s="276"/>
      <c r="M47" s="276"/>
      <c r="N47" s="276"/>
      <c r="O47" s="277"/>
      <c r="P47" s="275"/>
      <c r="Q47" s="276"/>
      <c r="R47" s="276"/>
      <c r="S47" s="276"/>
      <c r="T47" s="276"/>
      <c r="U47" s="277"/>
      <c r="V47" s="275"/>
      <c r="W47" s="276"/>
      <c r="X47" s="276"/>
      <c r="Y47" s="276"/>
      <c r="Z47" s="276"/>
      <c r="AA47" s="277"/>
      <c r="AB47" s="275"/>
      <c r="AC47" s="276"/>
      <c r="AD47" s="276"/>
      <c r="AE47" s="276"/>
      <c r="AF47" s="276"/>
      <c r="AG47" s="277"/>
      <c r="AH47" s="275"/>
      <c r="AI47" s="276"/>
      <c r="AJ47" s="276"/>
      <c r="AK47" s="276"/>
      <c r="AL47" s="276"/>
      <c r="AM47" s="277"/>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75"/>
      <c r="K48" s="276"/>
      <c r="L48" s="276"/>
      <c r="M48" s="276"/>
      <c r="N48" s="276"/>
      <c r="O48" s="277"/>
      <c r="P48" s="275"/>
      <c r="Q48" s="276"/>
      <c r="R48" s="276"/>
      <c r="S48" s="276"/>
      <c r="T48" s="276"/>
      <c r="U48" s="277"/>
      <c r="V48" s="275"/>
      <c r="W48" s="276"/>
      <c r="X48" s="276"/>
      <c r="Y48" s="276"/>
      <c r="Z48" s="276"/>
      <c r="AA48" s="277"/>
      <c r="AB48" s="275"/>
      <c r="AC48" s="276"/>
      <c r="AD48" s="276"/>
      <c r="AE48" s="276"/>
      <c r="AF48" s="276"/>
      <c r="AG48" s="277"/>
      <c r="AH48" s="275"/>
      <c r="AI48" s="276"/>
      <c r="AJ48" s="276"/>
      <c r="AK48" s="276"/>
      <c r="AL48" s="276"/>
      <c r="AM48" s="277"/>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75"/>
      <c r="K49" s="276"/>
      <c r="L49" s="276"/>
      <c r="M49" s="276"/>
      <c r="N49" s="276"/>
      <c r="O49" s="277"/>
      <c r="P49" s="275"/>
      <c r="Q49" s="276"/>
      <c r="R49" s="276"/>
      <c r="S49" s="276"/>
      <c r="T49" s="276"/>
      <c r="U49" s="277"/>
      <c r="V49" s="275"/>
      <c r="W49" s="276"/>
      <c r="X49" s="276"/>
      <c r="Y49" s="276"/>
      <c r="Z49" s="276"/>
      <c r="AA49" s="277"/>
      <c r="AB49" s="275"/>
      <c r="AC49" s="276"/>
      <c r="AD49" s="276"/>
      <c r="AE49" s="276"/>
      <c r="AF49" s="276"/>
      <c r="AG49" s="277"/>
      <c r="AH49" s="275"/>
      <c r="AI49" s="276"/>
      <c r="AJ49" s="276"/>
      <c r="AK49" s="276"/>
      <c r="AL49" s="276"/>
      <c r="AM49" s="277"/>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75"/>
      <c r="K50" s="276"/>
      <c r="L50" s="276"/>
      <c r="M50" s="276"/>
      <c r="N50" s="276"/>
      <c r="O50" s="277"/>
      <c r="P50" s="275"/>
      <c r="Q50" s="276"/>
      <c r="R50" s="276"/>
      <c r="S50" s="276"/>
      <c r="T50" s="276"/>
      <c r="U50" s="277"/>
      <c r="V50" s="275"/>
      <c r="W50" s="276"/>
      <c r="X50" s="276"/>
      <c r="Y50" s="276"/>
      <c r="Z50" s="276"/>
      <c r="AA50" s="277"/>
      <c r="AB50" s="275"/>
      <c r="AC50" s="276"/>
      <c r="AD50" s="276"/>
      <c r="AE50" s="276"/>
      <c r="AF50" s="276"/>
      <c r="AG50" s="277"/>
      <c r="AH50" s="275"/>
      <c r="AI50" s="276"/>
      <c r="AJ50" s="276"/>
      <c r="AK50" s="276"/>
      <c r="AL50" s="276"/>
      <c r="AM50" s="277"/>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78"/>
      <c r="K51" s="279"/>
      <c r="L51" s="279"/>
      <c r="M51" s="279"/>
      <c r="N51" s="279"/>
      <c r="O51" s="280"/>
      <c r="P51" s="278"/>
      <c r="Q51" s="279"/>
      <c r="R51" s="279"/>
      <c r="S51" s="279"/>
      <c r="T51" s="279"/>
      <c r="U51" s="280"/>
      <c r="V51" s="278"/>
      <c r="W51" s="279"/>
      <c r="X51" s="279"/>
      <c r="Y51" s="279"/>
      <c r="Z51" s="279"/>
      <c r="AA51" s="280"/>
      <c r="AB51" s="278"/>
      <c r="AC51" s="279"/>
      <c r="AD51" s="279"/>
      <c r="AE51" s="279"/>
      <c r="AF51" s="279"/>
      <c r="AG51" s="280"/>
      <c r="AH51" s="278"/>
      <c r="AI51" s="279"/>
      <c r="AJ51" s="279"/>
      <c r="AK51" s="279"/>
      <c r="AL51" s="279"/>
      <c r="AM51" s="28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M248"/>
  <sheetViews>
    <sheetView topLeftCell="A10" zoomScale="40" zoomScaleNormal="40" workbookViewId="0">
      <selection activeCell="M46" sqref="M4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48" t="s">
        <v>153</v>
      </c>
      <c r="C2" s="349"/>
      <c r="D2" s="349"/>
      <c r="E2" s="349"/>
      <c r="F2" s="349"/>
      <c r="G2" s="349"/>
      <c r="H2" s="349"/>
      <c r="I2" s="349"/>
      <c r="J2" s="288" t="s">
        <v>2</v>
      </c>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49"/>
      <c r="C3" s="349"/>
      <c r="D3" s="349"/>
      <c r="E3" s="349"/>
      <c r="F3" s="349"/>
      <c r="G3" s="349"/>
      <c r="H3" s="349"/>
      <c r="I3" s="349"/>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49"/>
      <c r="C4" s="349"/>
      <c r="D4" s="349"/>
      <c r="E4" s="349"/>
      <c r="F4" s="349"/>
      <c r="G4" s="349"/>
      <c r="H4" s="349"/>
      <c r="I4" s="349"/>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34" t="s">
        <v>3</v>
      </c>
      <c r="C6" s="234"/>
      <c r="D6" s="235"/>
      <c r="E6" s="331" t="s">
        <v>112</v>
      </c>
      <c r="F6" s="332"/>
      <c r="G6" s="332"/>
      <c r="H6" s="332"/>
      <c r="I6" s="350"/>
      <c r="J6" s="32" t="str">
        <f ca="1">IF(AND('Mapa final'!$AA$9="Muy Alta",'Mapa final'!$AC$9="Leve"),CONCATENATE("R1C",'Mapa final'!$Q$9),"")</f>
        <v/>
      </c>
      <c r="K6" s="33" t="str">
        <f ca="1">IF(AND('Mapa final'!$AA$10="Muy Alta",'Mapa final'!$AC$10="Leve"),CONCATENATE("R1C",'Mapa final'!$Q$10),"")</f>
        <v/>
      </c>
      <c r="L6" s="33" t="str">
        <f>IF(AND('Mapa final'!$AA$11="Muy Alta",'Mapa final'!$AC$11="Leve"),CONCATENATE("R1C",'Mapa final'!$Q$11),"")</f>
        <v/>
      </c>
      <c r="M6" s="33" t="str">
        <f>IF(AND('Mapa final'!$AA$12="Muy Alta",'Mapa final'!$AC$12="Leve"),CONCATENATE("R1C",'Mapa final'!$Q$12),"")</f>
        <v/>
      </c>
      <c r="N6" s="33" t="str">
        <f>IF(AND('Mapa final'!$AA$13="Muy Alta",'Mapa final'!$AC$13="Leve"),CONCATENATE("R1C",'Mapa final'!$Q$13),"")</f>
        <v/>
      </c>
      <c r="O6" s="34" t="str">
        <f>IF(AND('Mapa final'!$AA$14="Muy Alta",'Mapa final'!$AC$14="Leve"),CONCATENATE("R1C",'Mapa final'!$Q$14),"")</f>
        <v/>
      </c>
      <c r="P6" s="32" t="str">
        <f ca="1">IF(AND('Mapa final'!$AA$9="Muy Alta",'Mapa final'!$AC$9="Menor"),CONCATENATE("R1C",'Mapa final'!$Q$9),"")</f>
        <v/>
      </c>
      <c r="Q6" s="33" t="str">
        <f ca="1">IF(AND('Mapa final'!$AA$10="Muy Alta",'Mapa final'!$AC$10="Menor"),CONCATENATE("R1C",'Mapa final'!$Q$10),"")</f>
        <v/>
      </c>
      <c r="R6" s="33" t="str">
        <f>IF(AND('Mapa final'!$AA$11="Muy Alta",'Mapa final'!$AC$11="Menor"),CONCATENATE("R1C",'Mapa final'!$Q$11),"")</f>
        <v/>
      </c>
      <c r="S6" s="33" t="str">
        <f>IF(AND('Mapa final'!$AA$12="Muy Alta",'Mapa final'!$AC$12="Menor"),CONCATENATE("R1C",'Mapa final'!$Q$12),"")</f>
        <v/>
      </c>
      <c r="T6" s="33" t="str">
        <f>IF(AND('Mapa final'!$AA$13="Muy Alta",'Mapa final'!$AC$13="Menor"),CONCATENATE("R1C",'Mapa final'!$Q$13),"")</f>
        <v/>
      </c>
      <c r="U6" s="34" t="str">
        <f>IF(AND('Mapa final'!$AA$14="Muy Alta",'Mapa final'!$AC$14="Menor"),CONCATENATE("R1C",'Mapa final'!$Q$14),"")</f>
        <v/>
      </c>
      <c r="V6" s="32" t="str">
        <f ca="1">IF(AND('Mapa final'!$AA$9="Muy Alta",'Mapa final'!$AC$9="Moderado"),CONCATENATE("R1C",'Mapa final'!$Q$9),"")</f>
        <v/>
      </c>
      <c r="W6" s="33" t="str">
        <f ca="1">IF(AND('Mapa final'!$AA$10="Muy Alta",'Mapa final'!$AC$10="Moderado"),CONCATENATE("R1C",'Mapa final'!$Q$10),"")</f>
        <v/>
      </c>
      <c r="X6" s="33" t="str">
        <f>IF(AND('Mapa final'!$AA$11="Muy Alta",'Mapa final'!$AC$11="Moderado"),CONCATENATE("R1C",'Mapa final'!$Q$11),"")</f>
        <v/>
      </c>
      <c r="Y6" s="33" t="str">
        <f>IF(AND('Mapa final'!$AA$12="Muy Alta",'Mapa final'!$AC$12="Moderado"),CONCATENATE("R1C",'Mapa final'!$Q$12),"")</f>
        <v/>
      </c>
      <c r="Z6" s="33" t="str">
        <f>IF(AND('Mapa final'!$AA$13="Muy Alta",'Mapa final'!$AC$13="Moderado"),CONCATENATE("R1C",'Mapa final'!$Q$13),"")</f>
        <v/>
      </c>
      <c r="AA6" s="34" t="str">
        <f>IF(AND('Mapa final'!$AA$14="Muy Alta",'Mapa final'!$AC$14="Moderado"),CONCATENATE("R1C",'Mapa final'!$Q$14),"")</f>
        <v/>
      </c>
      <c r="AB6" s="32" t="str">
        <f ca="1">IF(AND('Mapa final'!$AA$9="Muy Alta",'Mapa final'!$AC$9="Mayor"),CONCATENATE("R1C",'Mapa final'!$Q$9),"")</f>
        <v/>
      </c>
      <c r="AC6" s="33" t="str">
        <f ca="1">IF(AND('Mapa final'!$AA$10="Muy Alta",'Mapa final'!$AC$10="Mayor"),CONCATENATE("R1C",'Mapa final'!$Q$10),"")</f>
        <v/>
      </c>
      <c r="AD6" s="33" t="str">
        <f>IF(AND('Mapa final'!$AA$11="Muy Alta",'Mapa final'!$AC$11="Mayor"),CONCATENATE("R1C",'Mapa final'!$Q$11),"")</f>
        <v/>
      </c>
      <c r="AE6" s="33" t="str">
        <f>IF(AND('Mapa final'!$AA$12="Muy Alta",'Mapa final'!$AC$12="Mayor"),CONCATENATE("R1C",'Mapa final'!$Q$12),"")</f>
        <v/>
      </c>
      <c r="AF6" s="33" t="str">
        <f>IF(AND('Mapa final'!$AA$13="Muy Alta",'Mapa final'!$AC$13="Mayor"),CONCATENATE("R1C",'Mapa final'!$Q$13),"")</f>
        <v/>
      </c>
      <c r="AG6" s="34" t="str">
        <f>IF(AND('Mapa final'!$AA$14="Muy Alta",'Mapa final'!$AC$14="Mayor"),CONCATENATE("R1C",'Mapa final'!$Q$14),"")</f>
        <v/>
      </c>
      <c r="AH6" s="35" t="str">
        <f ca="1">IF(AND('Mapa final'!$AA$9="Muy Alta",'Mapa final'!$AC$9="Catastrófico"),CONCATENATE("R1C",'Mapa final'!$Q$9),"")</f>
        <v/>
      </c>
      <c r="AI6" s="36" t="str">
        <f ca="1">IF(AND('Mapa final'!$AA$10="Muy Alta",'Mapa final'!$AC$10="Catastrófico"),CONCATENATE("R1C",'Mapa final'!$Q$10),"")</f>
        <v/>
      </c>
      <c r="AJ6" s="36" t="str">
        <f>IF(AND('Mapa final'!$AA$11="Muy Alta",'Mapa final'!$AC$11="Catastrófico"),CONCATENATE("R1C",'Mapa final'!$Q$11),"")</f>
        <v/>
      </c>
      <c r="AK6" s="36" t="str">
        <f>IF(AND('Mapa final'!$AA$12="Muy Alta",'Mapa final'!$AC$12="Catastrófico"),CONCATENATE("R1C",'Mapa final'!$Q$12),"")</f>
        <v/>
      </c>
      <c r="AL6" s="36" t="str">
        <f>IF(AND('Mapa final'!$AA$13="Muy Alta",'Mapa final'!$AC$13="Catastrófico"),CONCATENATE("R1C",'Mapa final'!$Q$13),"")</f>
        <v/>
      </c>
      <c r="AM6" s="37" t="str">
        <f>IF(AND('Mapa final'!$AA$14="Muy Alta",'Mapa final'!$AC$14="Catastrófico"),CONCATENATE("R1C",'Mapa final'!$Q$14),"")</f>
        <v/>
      </c>
      <c r="AN6" s="70"/>
      <c r="AO6" s="339" t="s">
        <v>75</v>
      </c>
      <c r="AP6" s="340"/>
      <c r="AQ6" s="340"/>
      <c r="AR6" s="340"/>
      <c r="AS6" s="340"/>
      <c r="AT6" s="341"/>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34"/>
      <c r="C7" s="234"/>
      <c r="D7" s="235"/>
      <c r="E7" s="335"/>
      <c r="F7" s="336"/>
      <c r="G7" s="336"/>
      <c r="H7" s="336"/>
      <c r="I7" s="351"/>
      <c r="J7" s="38" t="str">
        <f ca="1">IF(AND('Mapa final'!$AA$15="Muy Alta",'Mapa final'!$AC$15="Leve"),CONCATENATE("R2C",'Mapa final'!$Q$15),"")</f>
        <v/>
      </c>
      <c r="K7" s="39" t="str">
        <f ca="1">IF(AND('Mapa final'!$AA$16="Muy Alta",'Mapa final'!$AC$16="Leve"),CONCATENATE("R2C",'Mapa final'!$Q$16),"")</f>
        <v/>
      </c>
      <c r="L7" s="39" t="str">
        <f>IF(AND('Mapa final'!$AA$17="Muy Alta",'Mapa final'!$AC$17="Leve"),CONCATENATE("R2C",'Mapa final'!$Q$17),"")</f>
        <v/>
      </c>
      <c r="M7" s="39" t="str">
        <f>IF(AND('Mapa final'!$AA$18="Muy Alta",'Mapa final'!$AC$18="Leve"),CONCATENATE("R2C",'Mapa final'!$Q$18),"")</f>
        <v/>
      </c>
      <c r="N7" s="39" t="str">
        <f>IF(AND('Mapa final'!$AA$19="Muy Alta",'Mapa final'!$AC$19="Leve"),CONCATENATE("R2C",'Mapa final'!$Q$19),"")</f>
        <v/>
      </c>
      <c r="O7" s="40" t="str">
        <f>IF(AND('Mapa final'!$AA$20="Muy Alta",'Mapa final'!$AC$20="Leve"),CONCATENATE("R2C",'Mapa final'!$Q$20),"")</f>
        <v/>
      </c>
      <c r="P7" s="38" t="str">
        <f ca="1">IF(AND('Mapa final'!$AA$15="Muy Alta",'Mapa final'!$AC$15="Menor"),CONCATENATE("R2C",'Mapa final'!$Q$15),"")</f>
        <v/>
      </c>
      <c r="Q7" s="39" t="str">
        <f ca="1">IF(AND('Mapa final'!$AA$16="Muy Alta",'Mapa final'!$AC$16="Menor"),CONCATENATE("R2C",'Mapa final'!$Q$16),"")</f>
        <v/>
      </c>
      <c r="R7" s="39" t="str">
        <f>IF(AND('Mapa final'!$AA$17="Muy Alta",'Mapa final'!$AC$17="Menor"),CONCATENATE("R2C",'Mapa final'!$Q$17),"")</f>
        <v/>
      </c>
      <c r="S7" s="39" t="str">
        <f>IF(AND('Mapa final'!$AA$18="Muy Alta",'Mapa final'!$AC$18="Menor"),CONCATENATE("R2C",'Mapa final'!$Q$18),"")</f>
        <v/>
      </c>
      <c r="T7" s="39" t="str">
        <f>IF(AND('Mapa final'!$AA$19="Muy Alta",'Mapa final'!$AC$19="Menor"),CONCATENATE("R2C",'Mapa final'!$Q$19),"")</f>
        <v/>
      </c>
      <c r="U7" s="40" t="str">
        <f>IF(AND('Mapa final'!$AA$20="Muy Alta",'Mapa final'!$AC$20="Menor"),CONCATENATE("R2C",'Mapa final'!$Q$20),"")</f>
        <v/>
      </c>
      <c r="V7" s="38" t="str">
        <f ca="1">IF(AND('Mapa final'!$AA$15="Muy Alta",'Mapa final'!$AC$15="Moderado"),CONCATENATE("R2C",'Mapa final'!$Q$15),"")</f>
        <v/>
      </c>
      <c r="W7" s="39" t="str">
        <f ca="1">IF(AND('Mapa final'!$AA$16="Muy Alta",'Mapa final'!$AC$16="Moderado"),CONCATENATE("R2C",'Mapa final'!$Q$16),"")</f>
        <v/>
      </c>
      <c r="X7" s="39" t="str">
        <f>IF(AND('Mapa final'!$AA$17="Muy Alta",'Mapa final'!$AC$17="Moderado"),CONCATENATE("R2C",'Mapa final'!$Q$17),"")</f>
        <v/>
      </c>
      <c r="Y7" s="39" t="str">
        <f>IF(AND('Mapa final'!$AA$18="Muy Alta",'Mapa final'!$AC$18="Moderado"),CONCATENATE("R2C",'Mapa final'!$Q$18),"")</f>
        <v/>
      </c>
      <c r="Z7" s="39" t="str">
        <f>IF(AND('Mapa final'!$AA$19="Muy Alta",'Mapa final'!$AC$19="Moderado"),CONCATENATE("R2C",'Mapa final'!$Q$19),"")</f>
        <v/>
      </c>
      <c r="AA7" s="40" t="str">
        <f>IF(AND('Mapa final'!$AA$20="Muy Alta",'Mapa final'!$AC$20="Moderado"),CONCATENATE("R2C",'Mapa final'!$Q$20),"")</f>
        <v/>
      </c>
      <c r="AB7" s="38" t="str">
        <f ca="1">IF(AND('Mapa final'!$AA$15="Muy Alta",'Mapa final'!$AC$15="Mayor"),CONCATENATE("R2C",'Mapa final'!$Q$15),"")</f>
        <v/>
      </c>
      <c r="AC7" s="39" t="str">
        <f ca="1">IF(AND('Mapa final'!$AA$16="Muy Alta",'Mapa final'!$AC$16="Mayor"),CONCATENATE("R2C",'Mapa final'!$Q$16),"")</f>
        <v/>
      </c>
      <c r="AD7" s="39" t="str">
        <f>IF(AND('Mapa final'!$AA$17="Muy Alta",'Mapa final'!$AC$17="Mayor"),CONCATENATE("R2C",'Mapa final'!$Q$17),"")</f>
        <v/>
      </c>
      <c r="AE7" s="39" t="str">
        <f>IF(AND('Mapa final'!$AA$18="Muy Alta",'Mapa final'!$AC$18="Mayor"),CONCATENATE("R2C",'Mapa final'!$Q$18),"")</f>
        <v/>
      </c>
      <c r="AF7" s="39" t="str">
        <f>IF(AND('Mapa final'!$AA$19="Muy Alta",'Mapa final'!$AC$19="Mayor"),CONCATENATE("R2C",'Mapa final'!$Q$19),"")</f>
        <v/>
      </c>
      <c r="AG7" s="40" t="str">
        <f>IF(AND('Mapa final'!$AA$20="Muy Alta",'Mapa final'!$AC$20="Mayor"),CONCATENATE("R2C",'Mapa final'!$Q$20),"")</f>
        <v/>
      </c>
      <c r="AH7" s="41" t="str">
        <f ca="1">IF(AND('Mapa final'!$AA$15="Muy Alta",'Mapa final'!$AC$15="Catastrófico"),CONCATENATE("R2C",'Mapa final'!$Q$15),"")</f>
        <v/>
      </c>
      <c r="AI7" s="42" t="str">
        <f ca="1">IF(AND('Mapa final'!$AA$16="Muy Alta",'Mapa final'!$AC$16="Catastrófico"),CONCATENATE("R2C",'Mapa final'!$Q$16),"")</f>
        <v/>
      </c>
      <c r="AJ7" s="42" t="str">
        <f>IF(AND('Mapa final'!$AA$17="Muy Alta",'Mapa final'!$AC$17="Catastrófico"),CONCATENATE("R2C",'Mapa final'!$Q$17),"")</f>
        <v/>
      </c>
      <c r="AK7" s="42" t="str">
        <f>IF(AND('Mapa final'!$AA$18="Muy Alta",'Mapa final'!$AC$18="Catastrófico"),CONCATENATE("R2C",'Mapa final'!$Q$18),"")</f>
        <v/>
      </c>
      <c r="AL7" s="42" t="str">
        <f>IF(AND('Mapa final'!$AA$19="Muy Alta",'Mapa final'!$AC$19="Catastrófico"),CONCATENATE("R2C",'Mapa final'!$Q$19),"")</f>
        <v/>
      </c>
      <c r="AM7" s="43" t="str">
        <f>IF(AND('Mapa final'!$AA$20="Muy Alta",'Mapa final'!$AC$20="Catastrófico"),CONCATENATE("R2C",'Mapa final'!$Q$20),"")</f>
        <v/>
      </c>
      <c r="AN7" s="70"/>
      <c r="AO7" s="342"/>
      <c r="AP7" s="343"/>
      <c r="AQ7" s="343"/>
      <c r="AR7" s="343"/>
      <c r="AS7" s="343"/>
      <c r="AT7" s="344"/>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34"/>
      <c r="C8" s="234"/>
      <c r="D8" s="235"/>
      <c r="E8" s="335"/>
      <c r="F8" s="336"/>
      <c r="G8" s="336"/>
      <c r="H8" s="336"/>
      <c r="I8" s="351"/>
      <c r="J8" s="38" t="str">
        <f ca="1">IF(AND('Mapa final'!$AA$21="Muy Alta",'Mapa final'!$AC$21="Leve"),CONCATENATE("R3C",'Mapa final'!$Q$21),"")</f>
        <v/>
      </c>
      <c r="K8" s="39" t="str">
        <f>IF(AND('Mapa final'!$AA$22="Muy Alta",'Mapa final'!$AC$22="Leve"),CONCATENATE("R3C",'Mapa final'!$Q$22),"")</f>
        <v/>
      </c>
      <c r="L8" s="39" t="str">
        <f>IF(AND('Mapa final'!$AA$23="Muy Alta",'Mapa final'!$AC$23="Leve"),CONCATENATE("R3C",'Mapa final'!$Q$23),"")</f>
        <v/>
      </c>
      <c r="M8" s="39" t="str">
        <f>IF(AND('Mapa final'!$AA$24="Muy Alta",'Mapa final'!$AC$24="Leve"),CONCATENATE("R3C",'Mapa final'!$Q$24),"")</f>
        <v/>
      </c>
      <c r="N8" s="39" t="str">
        <f>IF(AND('Mapa final'!$AA$25="Muy Alta",'Mapa final'!$AC$25="Leve"),CONCATENATE("R3C",'Mapa final'!$Q$25),"")</f>
        <v/>
      </c>
      <c r="O8" s="40" t="str">
        <f>IF(AND('Mapa final'!$AA$26="Muy Alta",'Mapa final'!$AC$26="Leve"),CONCATENATE("R3C",'Mapa final'!$Q$26),"")</f>
        <v/>
      </c>
      <c r="P8" s="38" t="str">
        <f ca="1">IF(AND('Mapa final'!$AA$21="Muy Alta",'Mapa final'!$AC$21="Menor"),CONCATENATE("R3C",'Mapa final'!$Q$21),"")</f>
        <v/>
      </c>
      <c r="Q8" s="39" t="str">
        <f>IF(AND('Mapa final'!$AA$22="Muy Alta",'Mapa final'!$AC$22="Menor"),CONCATENATE("R3C",'Mapa final'!$Q$22),"")</f>
        <v/>
      </c>
      <c r="R8" s="39" t="str">
        <f>IF(AND('Mapa final'!$AA$23="Muy Alta",'Mapa final'!$AC$23="Menor"),CONCATENATE("R3C",'Mapa final'!$Q$23),"")</f>
        <v/>
      </c>
      <c r="S8" s="39" t="str">
        <f>IF(AND('Mapa final'!$AA$24="Muy Alta",'Mapa final'!$AC$24="Menor"),CONCATENATE("R3C",'Mapa final'!$Q$24),"")</f>
        <v/>
      </c>
      <c r="T8" s="39" t="str">
        <f>IF(AND('Mapa final'!$AA$25="Muy Alta",'Mapa final'!$AC$25="Menor"),CONCATENATE("R3C",'Mapa final'!$Q$25),"")</f>
        <v/>
      </c>
      <c r="U8" s="40" t="str">
        <f>IF(AND('Mapa final'!$AA$26="Muy Alta",'Mapa final'!$AC$26="Menor"),CONCATENATE("R3C",'Mapa final'!$Q$26),"")</f>
        <v/>
      </c>
      <c r="V8" s="38" t="str">
        <f ca="1">IF(AND('Mapa final'!$AA$21="Muy Alta",'Mapa final'!$AC$21="Moderado"),CONCATENATE("R3C",'Mapa final'!$Q$21),"")</f>
        <v/>
      </c>
      <c r="W8" s="39" t="str">
        <f>IF(AND('Mapa final'!$AA$22="Muy Alta",'Mapa final'!$AC$22="Moderado"),CONCATENATE("R3C",'Mapa final'!$Q$22),"")</f>
        <v/>
      </c>
      <c r="X8" s="39" t="str">
        <f>IF(AND('Mapa final'!$AA$23="Muy Alta",'Mapa final'!$AC$23="Moderado"),CONCATENATE("R3C",'Mapa final'!$Q$23),"")</f>
        <v/>
      </c>
      <c r="Y8" s="39" t="str">
        <f>IF(AND('Mapa final'!$AA$24="Muy Alta",'Mapa final'!$AC$24="Moderado"),CONCATENATE("R3C",'Mapa final'!$Q$24),"")</f>
        <v/>
      </c>
      <c r="Z8" s="39" t="str">
        <f>IF(AND('Mapa final'!$AA$25="Muy Alta",'Mapa final'!$AC$25="Moderado"),CONCATENATE("R3C",'Mapa final'!$Q$25),"")</f>
        <v/>
      </c>
      <c r="AA8" s="40" t="str">
        <f>IF(AND('Mapa final'!$AA$26="Muy Alta",'Mapa final'!$AC$26="Moderado"),CONCATENATE("R3C",'Mapa final'!$Q$26),"")</f>
        <v/>
      </c>
      <c r="AB8" s="38" t="str">
        <f ca="1">IF(AND('Mapa final'!$AA$21="Muy Alta",'Mapa final'!$AC$21="Mayor"),CONCATENATE("R3C",'Mapa final'!$Q$21),"")</f>
        <v/>
      </c>
      <c r="AC8" s="39" t="str">
        <f>IF(AND('Mapa final'!$AA$22="Muy Alta",'Mapa final'!$AC$22="Mayor"),CONCATENATE("R3C",'Mapa final'!$Q$22),"")</f>
        <v/>
      </c>
      <c r="AD8" s="39" t="str">
        <f>IF(AND('Mapa final'!$AA$23="Muy Alta",'Mapa final'!$AC$23="Mayor"),CONCATENATE("R3C",'Mapa final'!$Q$23),"")</f>
        <v/>
      </c>
      <c r="AE8" s="39" t="str">
        <f>IF(AND('Mapa final'!$AA$24="Muy Alta",'Mapa final'!$AC$24="Mayor"),CONCATENATE("R3C",'Mapa final'!$Q$24),"")</f>
        <v/>
      </c>
      <c r="AF8" s="39" t="str">
        <f>IF(AND('Mapa final'!$AA$25="Muy Alta",'Mapa final'!$AC$25="Mayor"),CONCATENATE("R3C",'Mapa final'!$Q$25),"")</f>
        <v/>
      </c>
      <c r="AG8" s="40" t="str">
        <f>IF(AND('Mapa final'!$AA$26="Muy Alta",'Mapa final'!$AC$26="Mayor"),CONCATENATE("R3C",'Mapa final'!$Q$26),"")</f>
        <v/>
      </c>
      <c r="AH8" s="41" t="str">
        <f ca="1">IF(AND('Mapa final'!$AA$21="Muy Alta",'Mapa final'!$AC$21="Catastrófico"),CONCATENATE("R3C",'Mapa final'!$Q$21),"")</f>
        <v/>
      </c>
      <c r="AI8" s="42" t="str">
        <f>IF(AND('Mapa final'!$AA$22="Muy Alta",'Mapa final'!$AC$22="Catastrófico"),CONCATENATE("R3C",'Mapa final'!$Q$22),"")</f>
        <v/>
      </c>
      <c r="AJ8" s="42" t="str">
        <f>IF(AND('Mapa final'!$AA$23="Muy Alta",'Mapa final'!$AC$23="Catastrófico"),CONCATENATE("R3C",'Mapa final'!$Q$23),"")</f>
        <v/>
      </c>
      <c r="AK8" s="42" t="str">
        <f>IF(AND('Mapa final'!$AA$24="Muy Alta",'Mapa final'!$AC$24="Catastrófico"),CONCATENATE("R3C",'Mapa final'!$Q$24),"")</f>
        <v/>
      </c>
      <c r="AL8" s="42" t="str">
        <f>IF(AND('Mapa final'!$AA$25="Muy Alta",'Mapa final'!$AC$25="Catastrófico"),CONCATENATE("R3C",'Mapa final'!$Q$25),"")</f>
        <v/>
      </c>
      <c r="AM8" s="43" t="str">
        <f>IF(AND('Mapa final'!$AA$26="Muy Alta",'Mapa final'!$AC$26="Catastrófico"),CONCATENATE("R3C",'Mapa final'!$Q$26),"")</f>
        <v/>
      </c>
      <c r="AN8" s="70"/>
      <c r="AO8" s="342"/>
      <c r="AP8" s="343"/>
      <c r="AQ8" s="343"/>
      <c r="AR8" s="343"/>
      <c r="AS8" s="343"/>
      <c r="AT8" s="344"/>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34"/>
      <c r="C9" s="234"/>
      <c r="D9" s="235"/>
      <c r="E9" s="335"/>
      <c r="F9" s="336"/>
      <c r="G9" s="336"/>
      <c r="H9" s="336"/>
      <c r="I9" s="351"/>
      <c r="J9" s="38" t="str">
        <f ca="1">IF(AND('Mapa final'!$AA$27="Muy Alta",'Mapa final'!$AC$27="Leve"),CONCATENATE("R4C",'Mapa final'!$Q$27),"")</f>
        <v/>
      </c>
      <c r="K9" s="39" t="str">
        <f ca="1">IF(AND('Mapa final'!$AA$28="Muy Alta",'Mapa final'!$AC$28="Leve"),CONCATENATE("R4C",'Mapa final'!$Q$28),"")</f>
        <v/>
      </c>
      <c r="L9" s="44" t="str">
        <f ca="1">IF(AND('Mapa final'!$AA$29="Muy Alta",'Mapa final'!$AC$29="Leve"),CONCATENATE("R4C",'Mapa final'!$Q$29),"")</f>
        <v/>
      </c>
      <c r="M9" s="44" t="str">
        <f>IF(AND('Mapa final'!$AA$30="Muy Alta",'Mapa final'!$AC$30="Leve"),CONCATENATE("R4C",'Mapa final'!$Q$30),"")</f>
        <v/>
      </c>
      <c r="N9" s="44" t="str">
        <f>IF(AND('Mapa final'!$AA$31="Muy Alta",'Mapa final'!$AC$31="Leve"),CONCATENATE("R4C",'Mapa final'!$Q$31),"")</f>
        <v/>
      </c>
      <c r="O9" s="40" t="str">
        <f>IF(AND('Mapa final'!$AA$32="Muy Alta",'Mapa final'!$AC$32="Leve"),CONCATENATE("R4C",'Mapa final'!$Q$32),"")</f>
        <v/>
      </c>
      <c r="P9" s="38" t="str">
        <f ca="1">IF(AND('Mapa final'!$AA$27="Muy Alta",'Mapa final'!$AC$27="Menor"),CONCATENATE("R4C",'Mapa final'!$Q$27),"")</f>
        <v/>
      </c>
      <c r="Q9" s="39" t="str">
        <f ca="1">IF(AND('Mapa final'!$AA$28="Muy Alta",'Mapa final'!$AC$28="Menor"),CONCATENATE("R4C",'Mapa final'!$Q$28),"")</f>
        <v/>
      </c>
      <c r="R9" s="44" t="str">
        <f ca="1">IF(AND('Mapa final'!$AA$29="Muy Alta",'Mapa final'!$AC$29="Menor"),CONCATENATE("R4C",'Mapa final'!$Q$29),"")</f>
        <v/>
      </c>
      <c r="S9" s="44" t="str">
        <f>IF(AND('Mapa final'!$AA$30="Muy Alta",'Mapa final'!$AC$30="Menor"),CONCATENATE("R4C",'Mapa final'!$Q$30),"")</f>
        <v/>
      </c>
      <c r="T9" s="44" t="str">
        <f>IF(AND('Mapa final'!$AA$31="Muy Alta",'Mapa final'!$AC$31="Menor"),CONCATENATE("R4C",'Mapa final'!$Q$31),"")</f>
        <v/>
      </c>
      <c r="U9" s="40" t="str">
        <f>IF(AND('Mapa final'!$AA$32="Muy Alta",'Mapa final'!$AC$32="Menor"),CONCATENATE("R4C",'Mapa final'!$Q$32),"")</f>
        <v/>
      </c>
      <c r="V9" s="38" t="str">
        <f ca="1">IF(AND('Mapa final'!$AA$27="Muy Alta",'Mapa final'!$AC$27="Moderado"),CONCATENATE("R4C",'Mapa final'!$Q$27),"")</f>
        <v/>
      </c>
      <c r="W9" s="39" t="str">
        <f ca="1">IF(AND('Mapa final'!$AA$28="Muy Alta",'Mapa final'!$AC$28="Moderado"),CONCATENATE("R4C",'Mapa final'!$Q$28),"")</f>
        <v/>
      </c>
      <c r="X9" s="44" t="str">
        <f ca="1">IF(AND('Mapa final'!$AA$29="Muy Alta",'Mapa final'!$AC$29="Moderado"),CONCATENATE("R4C",'Mapa final'!$Q$29),"")</f>
        <v/>
      </c>
      <c r="Y9" s="44" t="str">
        <f>IF(AND('Mapa final'!$AA$30="Muy Alta",'Mapa final'!$AC$30="Moderado"),CONCATENATE("R4C",'Mapa final'!$Q$30),"")</f>
        <v/>
      </c>
      <c r="Z9" s="44" t="str">
        <f>IF(AND('Mapa final'!$AA$31="Muy Alta",'Mapa final'!$AC$31="Moderado"),CONCATENATE("R4C",'Mapa final'!$Q$31),"")</f>
        <v/>
      </c>
      <c r="AA9" s="40" t="str">
        <f>IF(AND('Mapa final'!$AA$32="Muy Alta",'Mapa final'!$AC$32="Moderado"),CONCATENATE("R4C",'Mapa final'!$Q$32),"")</f>
        <v/>
      </c>
      <c r="AB9" s="38" t="str">
        <f ca="1">IF(AND('Mapa final'!$AA$27="Muy Alta",'Mapa final'!$AC$27="Mayor"),CONCATENATE("R4C",'Mapa final'!$Q$27),"")</f>
        <v/>
      </c>
      <c r="AC9" s="39" t="str">
        <f ca="1">IF(AND('Mapa final'!$AA$28="Muy Alta",'Mapa final'!$AC$28="Mayor"),CONCATENATE("R4C",'Mapa final'!$Q$28),"")</f>
        <v/>
      </c>
      <c r="AD9" s="44" t="str">
        <f ca="1">IF(AND('Mapa final'!$AA$29="Muy Alta",'Mapa final'!$AC$29="Mayor"),CONCATENATE("R4C",'Mapa final'!$Q$29),"")</f>
        <v/>
      </c>
      <c r="AE9" s="44" t="str">
        <f>IF(AND('Mapa final'!$AA$30="Muy Alta",'Mapa final'!$AC$30="Mayor"),CONCATENATE("R4C",'Mapa final'!$Q$30),"")</f>
        <v/>
      </c>
      <c r="AF9" s="44" t="str">
        <f>IF(AND('Mapa final'!$AA$31="Muy Alta",'Mapa final'!$AC$31="Mayor"),CONCATENATE("R4C",'Mapa final'!$Q$31),"")</f>
        <v/>
      </c>
      <c r="AG9" s="40" t="str">
        <f>IF(AND('Mapa final'!$AA$32="Muy Alta",'Mapa final'!$AC$32="Mayor"),CONCATENATE("R4C",'Mapa final'!$Q$32),"")</f>
        <v/>
      </c>
      <c r="AH9" s="41" t="str">
        <f ca="1">IF(AND('Mapa final'!$AA$27="Muy Alta",'Mapa final'!$AC$27="Catastrófico"),CONCATENATE("R4C",'Mapa final'!$Q$27),"")</f>
        <v/>
      </c>
      <c r="AI9" s="42" t="str">
        <f ca="1">IF(AND('Mapa final'!$AA$28="Muy Alta",'Mapa final'!$AC$28="Catastrófico"),CONCATENATE("R4C",'Mapa final'!$Q$28),"")</f>
        <v/>
      </c>
      <c r="AJ9" s="42" t="str">
        <f ca="1">IF(AND('Mapa final'!$AA$29="Muy Alta",'Mapa final'!$AC$29="Catastrófico"),CONCATENATE("R4C",'Mapa final'!$Q$29),"")</f>
        <v/>
      </c>
      <c r="AK9" s="42" t="str">
        <f>IF(AND('Mapa final'!$AA$30="Muy Alta",'Mapa final'!$AC$30="Catastrófico"),CONCATENATE("R4C",'Mapa final'!$Q$30),"")</f>
        <v/>
      </c>
      <c r="AL9" s="42" t="str">
        <f>IF(AND('Mapa final'!$AA$31="Muy Alta",'Mapa final'!$AC$31="Catastrófico"),CONCATENATE("R4C",'Mapa final'!$Q$31),"")</f>
        <v/>
      </c>
      <c r="AM9" s="43" t="str">
        <f>IF(AND('Mapa final'!$AA$32="Muy Alta",'Mapa final'!$AC$32="Catastrófico"),CONCATENATE("R4C",'Mapa final'!$Q$32),"")</f>
        <v/>
      </c>
      <c r="AN9" s="70"/>
      <c r="AO9" s="342"/>
      <c r="AP9" s="343"/>
      <c r="AQ9" s="343"/>
      <c r="AR9" s="343"/>
      <c r="AS9" s="343"/>
      <c r="AT9" s="344"/>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34"/>
      <c r="C10" s="234"/>
      <c r="D10" s="235"/>
      <c r="E10" s="335"/>
      <c r="F10" s="336"/>
      <c r="G10" s="336"/>
      <c r="H10" s="336"/>
      <c r="I10" s="351"/>
      <c r="J10" s="38" t="str">
        <f ca="1">IF(AND('Mapa final'!$AA$33="Muy Alta",'Mapa final'!$AC$33="Leve"),CONCATENATE("R5C",'Mapa final'!$Q$33),"")</f>
        <v/>
      </c>
      <c r="K10" s="39" t="str">
        <f ca="1">IF(AND('Mapa final'!$AA$34="Muy Alta",'Mapa final'!$AC$34="Leve"),CONCATENATE("R5C",'Mapa final'!$Q$34),"")</f>
        <v/>
      </c>
      <c r="L10" s="44" t="str">
        <f>IF(AND('Mapa final'!$AA$35="Muy Alta",'Mapa final'!$AC$35="Leve"),CONCATENATE("R5C",'Mapa final'!$Q$35),"")</f>
        <v/>
      </c>
      <c r="M10" s="44" t="str">
        <f>IF(AND('Mapa final'!$AA$36="Muy Alta",'Mapa final'!$AC$36="Leve"),CONCATENATE("R5C",'Mapa final'!$Q$36),"")</f>
        <v/>
      </c>
      <c r="N10" s="44" t="str">
        <f>IF(AND('Mapa final'!$AA$37="Muy Alta",'Mapa final'!$AC$37="Leve"),CONCATENATE("R5C",'Mapa final'!$Q$37),"")</f>
        <v/>
      </c>
      <c r="O10" s="40" t="str">
        <f>IF(AND('Mapa final'!$AA$38="Muy Alta",'Mapa final'!$AC$38="Leve"),CONCATENATE("R5C",'Mapa final'!$Q$38),"")</f>
        <v/>
      </c>
      <c r="P10" s="38" t="str">
        <f ca="1">IF(AND('Mapa final'!$AA$33="Muy Alta",'Mapa final'!$AC$33="Menor"),CONCATENATE("R5C",'Mapa final'!$Q$33),"")</f>
        <v/>
      </c>
      <c r="Q10" s="39" t="str">
        <f ca="1">IF(AND('Mapa final'!$AA$34="Muy Alta",'Mapa final'!$AC$34="Menor"),CONCATENATE("R5C",'Mapa final'!$Q$34),"")</f>
        <v/>
      </c>
      <c r="R10" s="44" t="str">
        <f>IF(AND('Mapa final'!$AA$35="Muy Alta",'Mapa final'!$AC$35="Menor"),CONCATENATE("R5C",'Mapa final'!$Q$35),"")</f>
        <v/>
      </c>
      <c r="S10" s="44" t="str">
        <f>IF(AND('Mapa final'!$AA$36="Muy Alta",'Mapa final'!$AC$36="Menor"),CONCATENATE("R5C",'Mapa final'!$Q$36),"")</f>
        <v/>
      </c>
      <c r="T10" s="44" t="str">
        <f>IF(AND('Mapa final'!$AA$37="Muy Alta",'Mapa final'!$AC$37="Menor"),CONCATENATE("R5C",'Mapa final'!$Q$37),"")</f>
        <v/>
      </c>
      <c r="U10" s="40" t="str">
        <f>IF(AND('Mapa final'!$AA$38="Muy Alta",'Mapa final'!$AC$38="Menor"),CONCATENATE("R5C",'Mapa final'!$Q$38),"")</f>
        <v/>
      </c>
      <c r="V10" s="38" t="str">
        <f ca="1">IF(AND('Mapa final'!$AA$33="Muy Alta",'Mapa final'!$AC$33="Moderado"),CONCATENATE("R5C",'Mapa final'!$Q$33),"")</f>
        <v/>
      </c>
      <c r="W10" s="39" t="str">
        <f ca="1">IF(AND('Mapa final'!$AA$34="Muy Alta",'Mapa final'!$AC$34="Moderado"),CONCATENATE("R5C",'Mapa final'!$Q$34),"")</f>
        <v/>
      </c>
      <c r="X10" s="44" t="str">
        <f>IF(AND('Mapa final'!$AA$35="Muy Alta",'Mapa final'!$AC$35="Moderado"),CONCATENATE("R5C",'Mapa final'!$Q$35),"")</f>
        <v/>
      </c>
      <c r="Y10" s="44" t="str">
        <f>IF(AND('Mapa final'!$AA$36="Muy Alta",'Mapa final'!$AC$36="Moderado"),CONCATENATE("R5C",'Mapa final'!$Q$36),"")</f>
        <v/>
      </c>
      <c r="Z10" s="44" t="str">
        <f>IF(AND('Mapa final'!$AA$37="Muy Alta",'Mapa final'!$AC$37="Moderado"),CONCATENATE("R5C",'Mapa final'!$Q$37),"")</f>
        <v/>
      </c>
      <c r="AA10" s="40" t="str">
        <f>IF(AND('Mapa final'!$AA$38="Muy Alta",'Mapa final'!$AC$38="Moderado"),CONCATENATE("R5C",'Mapa final'!$Q$38),"")</f>
        <v/>
      </c>
      <c r="AB10" s="38" t="str">
        <f ca="1">IF(AND('Mapa final'!$AA$33="Muy Alta",'Mapa final'!$AC$33="Mayor"),CONCATENATE("R5C",'Mapa final'!$Q$33),"")</f>
        <v/>
      </c>
      <c r="AC10" s="39" t="str">
        <f ca="1">IF(AND('Mapa final'!$AA$34="Muy Alta",'Mapa final'!$AC$34="Mayor"),CONCATENATE("R5C",'Mapa final'!$Q$34),"")</f>
        <v/>
      </c>
      <c r="AD10" s="44" t="str">
        <f>IF(AND('Mapa final'!$AA$35="Muy Alta",'Mapa final'!$AC$35="Mayor"),CONCATENATE("R5C",'Mapa final'!$Q$35),"")</f>
        <v/>
      </c>
      <c r="AE10" s="44" t="str">
        <f>IF(AND('Mapa final'!$AA$36="Muy Alta",'Mapa final'!$AC$36="Mayor"),CONCATENATE("R5C",'Mapa final'!$Q$36),"")</f>
        <v/>
      </c>
      <c r="AF10" s="44" t="str">
        <f>IF(AND('Mapa final'!$AA$37="Muy Alta",'Mapa final'!$AC$37="Mayor"),CONCATENATE("R5C",'Mapa final'!$Q$37),"")</f>
        <v/>
      </c>
      <c r="AG10" s="40" t="str">
        <f>IF(AND('Mapa final'!$AA$38="Muy Alta",'Mapa final'!$AC$38="Mayor"),CONCATENATE("R5C",'Mapa final'!$Q$38),"")</f>
        <v/>
      </c>
      <c r="AH10" s="41" t="str">
        <f ca="1">IF(AND('Mapa final'!$AA$33="Muy Alta",'Mapa final'!$AC$33="Catastrófico"),CONCATENATE("R5C",'Mapa final'!$Q$33),"")</f>
        <v/>
      </c>
      <c r="AI10" s="42" t="str">
        <f ca="1">IF(AND('Mapa final'!$AA$34="Muy Alta",'Mapa final'!$AC$34="Catastrófico"),CONCATENATE("R5C",'Mapa final'!$Q$34),"")</f>
        <v/>
      </c>
      <c r="AJ10" s="42" t="str">
        <f>IF(AND('Mapa final'!$AA$35="Muy Alta",'Mapa final'!$AC$35="Catastrófico"),CONCATENATE("R5C",'Mapa final'!$Q$35),"")</f>
        <v/>
      </c>
      <c r="AK10" s="42" t="str">
        <f>IF(AND('Mapa final'!$AA$36="Muy Alta",'Mapa final'!$AC$36="Catastrófico"),CONCATENATE("R5C",'Mapa final'!$Q$36),"")</f>
        <v/>
      </c>
      <c r="AL10" s="42" t="str">
        <f>IF(AND('Mapa final'!$AA$37="Muy Alta",'Mapa final'!$AC$37="Catastrófico"),CONCATENATE("R5C",'Mapa final'!$Q$37),"")</f>
        <v/>
      </c>
      <c r="AM10" s="43" t="str">
        <f>IF(AND('Mapa final'!$AA$38="Muy Alta",'Mapa final'!$AC$38="Catastrófico"),CONCATENATE("R5C",'Mapa final'!$Q$38),"")</f>
        <v/>
      </c>
      <c r="AN10" s="70"/>
      <c r="AO10" s="342"/>
      <c r="AP10" s="343"/>
      <c r="AQ10" s="343"/>
      <c r="AR10" s="343"/>
      <c r="AS10" s="343"/>
      <c r="AT10" s="344"/>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34"/>
      <c r="C11" s="234"/>
      <c r="D11" s="235"/>
      <c r="E11" s="335"/>
      <c r="F11" s="336"/>
      <c r="G11" s="336"/>
      <c r="H11" s="336"/>
      <c r="I11" s="351"/>
      <c r="J11" s="38" t="str">
        <f>IF(AND('Mapa final'!$AA$39="Muy Alta",'Mapa final'!$AC$39="Leve"),CONCATENATE("R6C",'Mapa final'!$Q$39),"")</f>
        <v/>
      </c>
      <c r="K11" s="39" t="str">
        <f>IF(AND('Mapa final'!$AA$40="Muy Alta",'Mapa final'!$AC$40="Leve"),CONCATENATE("R6C",'Mapa final'!$Q$40),"")</f>
        <v/>
      </c>
      <c r="L11" s="44" t="str">
        <f>IF(AND('Mapa final'!$AA$41="Muy Alta",'Mapa final'!$AC$41="Leve"),CONCATENATE("R6C",'Mapa final'!$Q$41),"")</f>
        <v/>
      </c>
      <c r="M11" s="44" t="str">
        <f>IF(AND('Mapa final'!$AA$42="Muy Alta",'Mapa final'!$AC$42="Leve"),CONCATENATE("R6C",'Mapa final'!$Q$42),"")</f>
        <v/>
      </c>
      <c r="N11" s="44" t="str">
        <f>IF(AND('Mapa final'!$AA$43="Muy Alta",'Mapa final'!$AC$43="Leve"),CONCATENATE("R6C",'Mapa final'!$Q$43),"")</f>
        <v/>
      </c>
      <c r="O11" s="40" t="str">
        <f>IF(AND('Mapa final'!$AA$44="Muy Alta",'Mapa final'!$AC$44="Leve"),CONCATENATE("R6C",'Mapa final'!$Q$44),"")</f>
        <v/>
      </c>
      <c r="P11" s="38" t="str">
        <f>IF(AND('Mapa final'!$AA$39="Muy Alta",'Mapa final'!$AC$39="Menor"),CONCATENATE("R6C",'Mapa final'!$Q$39),"")</f>
        <v/>
      </c>
      <c r="Q11" s="39" t="str">
        <f>IF(AND('Mapa final'!$AA$40="Muy Alta",'Mapa final'!$AC$40="Menor"),CONCATENATE("R6C",'Mapa final'!$Q$40),"")</f>
        <v/>
      </c>
      <c r="R11" s="44" t="str">
        <f>IF(AND('Mapa final'!$AA$41="Muy Alta",'Mapa final'!$AC$41="Menor"),CONCATENATE("R6C",'Mapa final'!$Q$41),"")</f>
        <v/>
      </c>
      <c r="S11" s="44" t="str">
        <f>IF(AND('Mapa final'!$AA$42="Muy Alta",'Mapa final'!$AC$42="Menor"),CONCATENATE("R6C",'Mapa final'!$Q$42),"")</f>
        <v/>
      </c>
      <c r="T11" s="44" t="str">
        <f>IF(AND('Mapa final'!$AA$43="Muy Alta",'Mapa final'!$AC$43="Menor"),CONCATENATE("R6C",'Mapa final'!$Q$43),"")</f>
        <v/>
      </c>
      <c r="U11" s="40" t="str">
        <f>IF(AND('Mapa final'!$AA$44="Muy Alta",'Mapa final'!$AC$44="Menor"),CONCATENATE("R6C",'Mapa final'!$Q$44),"")</f>
        <v/>
      </c>
      <c r="V11" s="38" t="str">
        <f>IF(AND('Mapa final'!$AA$39="Muy Alta",'Mapa final'!$AC$39="Moderado"),CONCATENATE("R6C",'Mapa final'!$Q$39),"")</f>
        <v/>
      </c>
      <c r="W11" s="39" t="str">
        <f>IF(AND('Mapa final'!$AA$40="Muy Alta",'Mapa final'!$AC$40="Moderado"),CONCATENATE("R6C",'Mapa final'!$Q$40),"")</f>
        <v/>
      </c>
      <c r="X11" s="44" t="str">
        <f>IF(AND('Mapa final'!$AA$41="Muy Alta",'Mapa final'!$AC$41="Moderado"),CONCATENATE("R6C",'Mapa final'!$Q$41),"")</f>
        <v/>
      </c>
      <c r="Y11" s="44" t="str">
        <f>IF(AND('Mapa final'!$AA$42="Muy Alta",'Mapa final'!$AC$42="Moderado"),CONCATENATE("R6C",'Mapa final'!$Q$42),"")</f>
        <v/>
      </c>
      <c r="Z11" s="44" t="str">
        <f>IF(AND('Mapa final'!$AA$43="Muy Alta",'Mapa final'!$AC$43="Moderado"),CONCATENATE("R6C",'Mapa final'!$Q$43),"")</f>
        <v/>
      </c>
      <c r="AA11" s="40" t="str">
        <f>IF(AND('Mapa final'!$AA$44="Muy Alta",'Mapa final'!$AC$44="Moderado"),CONCATENATE("R6C",'Mapa final'!$Q$44),"")</f>
        <v/>
      </c>
      <c r="AB11" s="38" t="str">
        <f>IF(AND('Mapa final'!$AA$39="Muy Alta",'Mapa final'!$AC$39="Mayor"),CONCATENATE("R6C",'Mapa final'!$Q$39),"")</f>
        <v/>
      </c>
      <c r="AC11" s="39" t="str">
        <f>IF(AND('Mapa final'!$AA$40="Muy Alta",'Mapa final'!$AC$40="Mayor"),CONCATENATE("R6C",'Mapa final'!$Q$40),"")</f>
        <v/>
      </c>
      <c r="AD11" s="44" t="str">
        <f>IF(AND('Mapa final'!$AA$41="Muy Alta",'Mapa final'!$AC$41="Mayor"),CONCATENATE("R6C",'Mapa final'!$Q$41),"")</f>
        <v/>
      </c>
      <c r="AE11" s="44" t="str">
        <f>IF(AND('Mapa final'!$AA$42="Muy Alta",'Mapa final'!$AC$42="Mayor"),CONCATENATE("R6C",'Mapa final'!$Q$42),"")</f>
        <v/>
      </c>
      <c r="AF11" s="44" t="str">
        <f>IF(AND('Mapa final'!$AA$43="Muy Alta",'Mapa final'!$AC$43="Mayor"),CONCATENATE("R6C",'Mapa final'!$Q$43),"")</f>
        <v/>
      </c>
      <c r="AG11" s="40" t="str">
        <f>IF(AND('Mapa final'!$AA$44="Muy Alta",'Mapa final'!$AC$44="Mayor"),CONCATENATE("R6C",'Mapa final'!$Q$44),"")</f>
        <v/>
      </c>
      <c r="AH11" s="41" t="str">
        <f>IF(AND('Mapa final'!$AA$39="Muy Alta",'Mapa final'!$AC$39="Catastrófico"),CONCATENATE("R6C",'Mapa final'!$Q$39),"")</f>
        <v/>
      </c>
      <c r="AI11" s="42" t="str">
        <f>IF(AND('Mapa final'!$AA$40="Muy Alta",'Mapa final'!$AC$40="Catastrófico"),CONCATENATE("R6C",'Mapa final'!$Q$40),"")</f>
        <v/>
      </c>
      <c r="AJ11" s="42" t="str">
        <f>IF(AND('Mapa final'!$AA$41="Muy Alta",'Mapa final'!$AC$41="Catastrófico"),CONCATENATE("R6C",'Mapa final'!$Q$41),"")</f>
        <v/>
      </c>
      <c r="AK11" s="42" t="str">
        <f>IF(AND('Mapa final'!$AA$42="Muy Alta",'Mapa final'!$AC$42="Catastrófico"),CONCATENATE("R6C",'Mapa final'!$Q$42),"")</f>
        <v/>
      </c>
      <c r="AL11" s="42" t="str">
        <f>IF(AND('Mapa final'!$AA$43="Muy Alta",'Mapa final'!$AC$43="Catastrófico"),CONCATENATE("R6C",'Mapa final'!$Q$43),"")</f>
        <v/>
      </c>
      <c r="AM11" s="43" t="str">
        <f>IF(AND('Mapa final'!$AA$44="Muy Alta",'Mapa final'!$AC$44="Catastrófico"),CONCATENATE("R6C",'Mapa final'!$Q$44),"")</f>
        <v/>
      </c>
      <c r="AN11" s="70"/>
      <c r="AO11" s="342"/>
      <c r="AP11" s="343"/>
      <c r="AQ11" s="343"/>
      <c r="AR11" s="343"/>
      <c r="AS11" s="343"/>
      <c r="AT11" s="344"/>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34"/>
      <c r="C12" s="234"/>
      <c r="D12" s="235"/>
      <c r="E12" s="335"/>
      <c r="F12" s="336"/>
      <c r="G12" s="336"/>
      <c r="H12" s="336"/>
      <c r="I12" s="351"/>
      <c r="J12" s="38" t="str">
        <f>IF(AND('Mapa final'!$AA$45="Muy Alta",'Mapa final'!$AC$45="Leve"),CONCATENATE("R7C",'Mapa final'!$Q$45),"")</f>
        <v/>
      </c>
      <c r="K12" s="39" t="str">
        <f>IF(AND('Mapa final'!$AA$46="Muy Alta",'Mapa final'!$AC$46="Leve"),CONCATENATE("R7C",'Mapa final'!$Q$46),"")</f>
        <v/>
      </c>
      <c r="L12" s="44" t="str">
        <f>IF(AND('Mapa final'!$AA$47="Muy Alta",'Mapa final'!$AC$47="Leve"),CONCATENATE("R7C",'Mapa final'!$Q$47),"")</f>
        <v/>
      </c>
      <c r="M12" s="44" t="str">
        <f>IF(AND('Mapa final'!$AA$48="Muy Alta",'Mapa final'!$AC$48="Leve"),CONCATENATE("R7C",'Mapa final'!$Q$48),"")</f>
        <v/>
      </c>
      <c r="N12" s="44" t="str">
        <f>IF(AND('Mapa final'!$AA$49="Muy Alta",'Mapa final'!$AC$49="Leve"),CONCATENATE("R7C",'Mapa final'!$Q$49),"")</f>
        <v/>
      </c>
      <c r="O12" s="40" t="str">
        <f>IF(AND('Mapa final'!$AA$50="Muy Alta",'Mapa final'!$AC$50="Leve"),CONCATENATE("R7C",'Mapa final'!$Q$50),"")</f>
        <v/>
      </c>
      <c r="P12" s="38" t="str">
        <f>IF(AND('Mapa final'!$AA$45="Muy Alta",'Mapa final'!$AC$45="Menor"),CONCATENATE("R7C",'Mapa final'!$Q$45),"")</f>
        <v/>
      </c>
      <c r="Q12" s="39" t="str">
        <f>IF(AND('Mapa final'!$AA$46="Muy Alta",'Mapa final'!$AC$46="Menor"),CONCATENATE("R7C",'Mapa final'!$Q$46),"")</f>
        <v/>
      </c>
      <c r="R12" s="44" t="str">
        <f>IF(AND('Mapa final'!$AA$47="Muy Alta",'Mapa final'!$AC$47="Menor"),CONCATENATE("R7C",'Mapa final'!$Q$47),"")</f>
        <v/>
      </c>
      <c r="S12" s="44" t="str">
        <f>IF(AND('Mapa final'!$AA$48="Muy Alta",'Mapa final'!$AC$48="Menor"),CONCATENATE("R7C",'Mapa final'!$Q$48),"")</f>
        <v/>
      </c>
      <c r="T12" s="44" t="str">
        <f>IF(AND('Mapa final'!$AA$49="Muy Alta",'Mapa final'!$AC$49="Menor"),CONCATENATE("R7C",'Mapa final'!$Q$49),"")</f>
        <v/>
      </c>
      <c r="U12" s="40" t="str">
        <f>IF(AND('Mapa final'!$AA$50="Muy Alta",'Mapa final'!$AC$50="Menor"),CONCATENATE("R7C",'Mapa final'!$Q$50),"")</f>
        <v/>
      </c>
      <c r="V12" s="38" t="str">
        <f>IF(AND('Mapa final'!$AA$45="Muy Alta",'Mapa final'!$AC$45="Moderado"),CONCATENATE("R7C",'Mapa final'!$Q$45),"")</f>
        <v/>
      </c>
      <c r="W12" s="39" t="str">
        <f>IF(AND('Mapa final'!$AA$46="Muy Alta",'Mapa final'!$AC$46="Moderado"),CONCATENATE("R7C",'Mapa final'!$Q$46),"")</f>
        <v/>
      </c>
      <c r="X12" s="44" t="str">
        <f>IF(AND('Mapa final'!$AA$47="Muy Alta",'Mapa final'!$AC$47="Moderado"),CONCATENATE("R7C",'Mapa final'!$Q$47),"")</f>
        <v/>
      </c>
      <c r="Y12" s="44" t="str">
        <f>IF(AND('Mapa final'!$AA$48="Muy Alta",'Mapa final'!$AC$48="Moderado"),CONCATENATE("R7C",'Mapa final'!$Q$48),"")</f>
        <v/>
      </c>
      <c r="Z12" s="44" t="str">
        <f>IF(AND('Mapa final'!$AA$49="Muy Alta",'Mapa final'!$AC$49="Moderado"),CONCATENATE("R7C",'Mapa final'!$Q$49),"")</f>
        <v/>
      </c>
      <c r="AA12" s="40" t="str">
        <f>IF(AND('Mapa final'!$AA$50="Muy Alta",'Mapa final'!$AC$50="Moderado"),CONCATENATE("R7C",'Mapa final'!$Q$50),"")</f>
        <v/>
      </c>
      <c r="AB12" s="38" t="str">
        <f>IF(AND('Mapa final'!$AA$45="Muy Alta",'Mapa final'!$AC$45="Mayor"),CONCATENATE("R7C",'Mapa final'!$Q$45),"")</f>
        <v/>
      </c>
      <c r="AC12" s="39" t="str">
        <f>IF(AND('Mapa final'!$AA$46="Muy Alta",'Mapa final'!$AC$46="Mayor"),CONCATENATE("R7C",'Mapa final'!$Q$46),"")</f>
        <v/>
      </c>
      <c r="AD12" s="44" t="str">
        <f>IF(AND('Mapa final'!$AA$47="Muy Alta",'Mapa final'!$AC$47="Mayor"),CONCATENATE("R7C",'Mapa final'!$Q$47),"")</f>
        <v/>
      </c>
      <c r="AE12" s="44" t="str">
        <f>IF(AND('Mapa final'!$AA$48="Muy Alta",'Mapa final'!$AC$48="Mayor"),CONCATENATE("R7C",'Mapa final'!$Q$48),"")</f>
        <v/>
      </c>
      <c r="AF12" s="44" t="str">
        <f>IF(AND('Mapa final'!$AA$49="Muy Alta",'Mapa final'!$AC$49="Mayor"),CONCATENATE("R7C",'Mapa final'!$Q$49),"")</f>
        <v/>
      </c>
      <c r="AG12" s="40" t="str">
        <f>IF(AND('Mapa final'!$AA$50="Muy Alta",'Mapa final'!$AC$50="Mayor"),CONCATENATE("R7C",'Mapa final'!$Q$50),"")</f>
        <v/>
      </c>
      <c r="AH12" s="41" t="str">
        <f>IF(AND('Mapa final'!$AA$45="Muy Alta",'Mapa final'!$AC$45="Catastrófico"),CONCATENATE("R7C",'Mapa final'!$Q$45),"")</f>
        <v/>
      </c>
      <c r="AI12" s="42" t="str">
        <f>IF(AND('Mapa final'!$AA$46="Muy Alta",'Mapa final'!$AC$46="Catastrófico"),CONCATENATE("R7C",'Mapa final'!$Q$46),"")</f>
        <v/>
      </c>
      <c r="AJ12" s="42" t="str">
        <f>IF(AND('Mapa final'!$AA$47="Muy Alta",'Mapa final'!$AC$47="Catastrófico"),CONCATENATE("R7C",'Mapa final'!$Q$47),"")</f>
        <v/>
      </c>
      <c r="AK12" s="42" t="str">
        <f>IF(AND('Mapa final'!$AA$48="Muy Alta",'Mapa final'!$AC$48="Catastrófico"),CONCATENATE("R7C",'Mapa final'!$Q$48),"")</f>
        <v/>
      </c>
      <c r="AL12" s="42" t="str">
        <f>IF(AND('Mapa final'!$AA$49="Muy Alta",'Mapa final'!$AC$49="Catastrófico"),CONCATENATE("R7C",'Mapa final'!$Q$49),"")</f>
        <v/>
      </c>
      <c r="AM12" s="43" t="str">
        <f>IF(AND('Mapa final'!$AA$50="Muy Alta",'Mapa final'!$AC$50="Catastrófico"),CONCATENATE("R7C",'Mapa final'!$Q$50),"")</f>
        <v/>
      </c>
      <c r="AN12" s="70"/>
      <c r="AO12" s="342"/>
      <c r="AP12" s="343"/>
      <c r="AQ12" s="343"/>
      <c r="AR12" s="343"/>
      <c r="AS12" s="343"/>
      <c r="AT12" s="344"/>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34"/>
      <c r="C13" s="234"/>
      <c r="D13" s="235"/>
      <c r="E13" s="335"/>
      <c r="F13" s="336"/>
      <c r="G13" s="336"/>
      <c r="H13" s="336"/>
      <c r="I13" s="351"/>
      <c r="J13" s="38" t="str">
        <f>IF(AND('Mapa final'!$AA$51="Muy Alta",'Mapa final'!$AC$51="Leve"),CONCATENATE("R8C",'Mapa final'!$Q$51),"")</f>
        <v/>
      </c>
      <c r="K13" s="39" t="str">
        <f>IF(AND('Mapa final'!$AA$52="Muy Alta",'Mapa final'!$AC$52="Leve"),CONCATENATE("R8C",'Mapa final'!$Q$52),"")</f>
        <v/>
      </c>
      <c r="L13" s="44" t="str">
        <f>IF(AND('Mapa final'!$AA$53="Muy Alta",'Mapa final'!$AC$53="Leve"),CONCATENATE("R8C",'Mapa final'!$Q$53),"")</f>
        <v/>
      </c>
      <c r="M13" s="44" t="str">
        <f>IF(AND('Mapa final'!$AA$54="Muy Alta",'Mapa final'!$AC$54="Leve"),CONCATENATE("R8C",'Mapa final'!$Q$54),"")</f>
        <v/>
      </c>
      <c r="N13" s="44" t="str">
        <f>IF(AND('Mapa final'!$AA$55="Muy Alta",'Mapa final'!$AC$55="Leve"),CONCATENATE("R8C",'Mapa final'!$Q$55),"")</f>
        <v/>
      </c>
      <c r="O13" s="40" t="str">
        <f>IF(AND('Mapa final'!$AA$56="Muy Alta",'Mapa final'!$AC$56="Leve"),CONCATENATE("R8C",'Mapa final'!$Q$56),"")</f>
        <v/>
      </c>
      <c r="P13" s="38" t="str">
        <f>IF(AND('Mapa final'!$AA$51="Muy Alta",'Mapa final'!$AC$51="Menor"),CONCATENATE("R8C",'Mapa final'!$Q$51),"")</f>
        <v/>
      </c>
      <c r="Q13" s="39" t="str">
        <f>IF(AND('Mapa final'!$AA$52="Muy Alta",'Mapa final'!$AC$52="Menor"),CONCATENATE("R8C",'Mapa final'!$Q$52),"")</f>
        <v/>
      </c>
      <c r="R13" s="44" t="str">
        <f>IF(AND('Mapa final'!$AA$53="Muy Alta",'Mapa final'!$AC$53="Menor"),CONCATENATE("R8C",'Mapa final'!$Q$53),"")</f>
        <v/>
      </c>
      <c r="S13" s="44" t="str">
        <f>IF(AND('Mapa final'!$AA$54="Muy Alta",'Mapa final'!$AC$54="Menor"),CONCATENATE("R8C",'Mapa final'!$Q$54),"")</f>
        <v/>
      </c>
      <c r="T13" s="44" t="str">
        <f>IF(AND('Mapa final'!$AA$55="Muy Alta",'Mapa final'!$AC$55="Menor"),CONCATENATE("R8C",'Mapa final'!$Q$55),"")</f>
        <v/>
      </c>
      <c r="U13" s="40" t="str">
        <f>IF(AND('Mapa final'!$AA$56="Muy Alta",'Mapa final'!$AC$56="Menor"),CONCATENATE("R8C",'Mapa final'!$Q$56),"")</f>
        <v/>
      </c>
      <c r="V13" s="38" t="str">
        <f>IF(AND('Mapa final'!$AA$51="Muy Alta",'Mapa final'!$AC$51="Moderado"),CONCATENATE("R8C",'Mapa final'!$Q$51),"")</f>
        <v/>
      </c>
      <c r="W13" s="39" t="str">
        <f>IF(AND('Mapa final'!$AA$52="Muy Alta",'Mapa final'!$AC$52="Moderado"),CONCATENATE("R8C",'Mapa final'!$Q$52),"")</f>
        <v/>
      </c>
      <c r="X13" s="44" t="str">
        <f>IF(AND('Mapa final'!$AA$53="Muy Alta",'Mapa final'!$AC$53="Moderado"),CONCATENATE("R8C",'Mapa final'!$Q$53),"")</f>
        <v/>
      </c>
      <c r="Y13" s="44" t="str">
        <f>IF(AND('Mapa final'!$AA$54="Muy Alta",'Mapa final'!$AC$54="Moderado"),CONCATENATE("R8C",'Mapa final'!$Q$54),"")</f>
        <v/>
      </c>
      <c r="Z13" s="44" t="str">
        <f>IF(AND('Mapa final'!$AA$55="Muy Alta",'Mapa final'!$AC$55="Moderado"),CONCATENATE("R8C",'Mapa final'!$Q$55),"")</f>
        <v/>
      </c>
      <c r="AA13" s="40" t="str">
        <f>IF(AND('Mapa final'!$AA$56="Muy Alta",'Mapa final'!$AC$56="Moderado"),CONCATENATE("R8C",'Mapa final'!$Q$56),"")</f>
        <v/>
      </c>
      <c r="AB13" s="38" t="str">
        <f>IF(AND('Mapa final'!$AA$51="Muy Alta",'Mapa final'!$AC$51="Mayor"),CONCATENATE("R8C",'Mapa final'!$Q$51),"")</f>
        <v/>
      </c>
      <c r="AC13" s="39" t="str">
        <f>IF(AND('Mapa final'!$AA$52="Muy Alta",'Mapa final'!$AC$52="Mayor"),CONCATENATE("R8C",'Mapa final'!$Q$52),"")</f>
        <v/>
      </c>
      <c r="AD13" s="44" t="str">
        <f>IF(AND('Mapa final'!$AA$53="Muy Alta",'Mapa final'!$AC$53="Mayor"),CONCATENATE("R8C",'Mapa final'!$Q$53),"")</f>
        <v/>
      </c>
      <c r="AE13" s="44" t="str">
        <f>IF(AND('Mapa final'!$AA$54="Muy Alta",'Mapa final'!$AC$54="Mayor"),CONCATENATE("R8C",'Mapa final'!$Q$54),"")</f>
        <v/>
      </c>
      <c r="AF13" s="44" t="str">
        <f>IF(AND('Mapa final'!$AA$55="Muy Alta",'Mapa final'!$AC$55="Mayor"),CONCATENATE("R8C",'Mapa final'!$Q$55),"")</f>
        <v/>
      </c>
      <c r="AG13" s="40" t="str">
        <f>IF(AND('Mapa final'!$AA$56="Muy Alta",'Mapa final'!$AC$56="Mayor"),CONCATENATE("R8C",'Mapa final'!$Q$56),"")</f>
        <v/>
      </c>
      <c r="AH13" s="41" t="str">
        <f>IF(AND('Mapa final'!$AA$51="Muy Alta",'Mapa final'!$AC$51="Catastrófico"),CONCATENATE("R8C",'Mapa final'!$Q$51),"")</f>
        <v/>
      </c>
      <c r="AI13" s="42" t="str">
        <f>IF(AND('Mapa final'!$AA$52="Muy Alta",'Mapa final'!$AC$52="Catastrófico"),CONCATENATE("R8C",'Mapa final'!$Q$52),"")</f>
        <v/>
      </c>
      <c r="AJ13" s="42" t="str">
        <f>IF(AND('Mapa final'!$AA$53="Muy Alta",'Mapa final'!$AC$53="Catastrófico"),CONCATENATE("R8C",'Mapa final'!$Q$53),"")</f>
        <v/>
      </c>
      <c r="AK13" s="42" t="str">
        <f>IF(AND('Mapa final'!$AA$54="Muy Alta",'Mapa final'!$AC$54="Catastrófico"),CONCATENATE("R8C",'Mapa final'!$Q$54),"")</f>
        <v/>
      </c>
      <c r="AL13" s="42" t="str">
        <f>IF(AND('Mapa final'!$AA$55="Muy Alta",'Mapa final'!$AC$55="Catastrófico"),CONCATENATE("R8C",'Mapa final'!$Q$55),"")</f>
        <v/>
      </c>
      <c r="AM13" s="43" t="str">
        <f>IF(AND('Mapa final'!$AA$56="Muy Alta",'Mapa final'!$AC$56="Catastrófico"),CONCATENATE("R8C",'Mapa final'!$Q$56),"")</f>
        <v/>
      </c>
      <c r="AN13" s="70"/>
      <c r="AO13" s="342"/>
      <c r="AP13" s="343"/>
      <c r="AQ13" s="343"/>
      <c r="AR13" s="343"/>
      <c r="AS13" s="343"/>
      <c r="AT13" s="344"/>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34"/>
      <c r="C14" s="234"/>
      <c r="D14" s="235"/>
      <c r="E14" s="335"/>
      <c r="F14" s="336"/>
      <c r="G14" s="336"/>
      <c r="H14" s="336"/>
      <c r="I14" s="351"/>
      <c r="J14" s="38" t="str">
        <f>IF(AND('Mapa final'!$AA$57="Muy Alta",'Mapa final'!$AC$57="Leve"),CONCATENATE("R9C",'Mapa final'!$Q$57),"")</f>
        <v/>
      </c>
      <c r="K14" s="39" t="str">
        <f>IF(AND('Mapa final'!$AA$58="Muy Alta",'Mapa final'!$AC$58="Leve"),CONCATENATE("R9C",'Mapa final'!$Q$58),"")</f>
        <v/>
      </c>
      <c r="L14" s="44" t="str">
        <f>IF(AND('Mapa final'!$AA$59="Muy Alta",'Mapa final'!$AC$59="Leve"),CONCATENATE("R9C",'Mapa final'!$Q$59),"")</f>
        <v/>
      </c>
      <c r="M14" s="44" t="str">
        <f>IF(AND('Mapa final'!$AA$60="Muy Alta",'Mapa final'!$AC$60="Leve"),CONCATENATE("R9C",'Mapa final'!$Q$60),"")</f>
        <v/>
      </c>
      <c r="N14" s="44" t="str">
        <f>IF(AND('Mapa final'!$AA$61="Muy Alta",'Mapa final'!$AC$61="Leve"),CONCATENATE("R9C",'Mapa final'!$Q$61),"")</f>
        <v/>
      </c>
      <c r="O14" s="40" t="str">
        <f>IF(AND('Mapa final'!$AA$62="Muy Alta",'Mapa final'!$AC$62="Leve"),CONCATENATE("R9C",'Mapa final'!$Q$62),"")</f>
        <v/>
      </c>
      <c r="P14" s="38" t="str">
        <f>IF(AND('Mapa final'!$AA$57="Muy Alta",'Mapa final'!$AC$57="Menor"),CONCATENATE("R9C",'Mapa final'!$Q$57),"")</f>
        <v/>
      </c>
      <c r="Q14" s="39" t="str">
        <f>IF(AND('Mapa final'!$AA$58="Muy Alta",'Mapa final'!$AC$58="Menor"),CONCATENATE("R9C",'Mapa final'!$Q$58),"")</f>
        <v/>
      </c>
      <c r="R14" s="44" t="str">
        <f>IF(AND('Mapa final'!$AA$59="Muy Alta",'Mapa final'!$AC$59="Menor"),CONCATENATE("R9C",'Mapa final'!$Q$59),"")</f>
        <v/>
      </c>
      <c r="S14" s="44" t="str">
        <f>IF(AND('Mapa final'!$AA$60="Muy Alta",'Mapa final'!$AC$60="Menor"),CONCATENATE("R9C",'Mapa final'!$Q$60),"")</f>
        <v/>
      </c>
      <c r="T14" s="44" t="str">
        <f>IF(AND('Mapa final'!$AA$61="Muy Alta",'Mapa final'!$AC$61="Menor"),CONCATENATE("R9C",'Mapa final'!$Q$61),"")</f>
        <v/>
      </c>
      <c r="U14" s="40" t="str">
        <f>IF(AND('Mapa final'!$AA$62="Muy Alta",'Mapa final'!$AC$62="Menor"),CONCATENATE("R9C",'Mapa final'!$Q$62),"")</f>
        <v/>
      </c>
      <c r="V14" s="38" t="str">
        <f>IF(AND('Mapa final'!$AA$57="Muy Alta",'Mapa final'!$AC$57="Moderado"),CONCATENATE("R9C",'Mapa final'!$Q$57),"")</f>
        <v/>
      </c>
      <c r="W14" s="39" t="str">
        <f>IF(AND('Mapa final'!$AA$58="Muy Alta",'Mapa final'!$AC$58="Moderado"),CONCATENATE("R9C",'Mapa final'!$Q$58),"")</f>
        <v/>
      </c>
      <c r="X14" s="44" t="str">
        <f>IF(AND('Mapa final'!$AA$59="Muy Alta",'Mapa final'!$AC$59="Moderado"),CONCATENATE("R9C",'Mapa final'!$Q$59),"")</f>
        <v/>
      </c>
      <c r="Y14" s="44" t="str">
        <f>IF(AND('Mapa final'!$AA$60="Muy Alta",'Mapa final'!$AC$60="Moderado"),CONCATENATE("R9C",'Mapa final'!$Q$60),"")</f>
        <v/>
      </c>
      <c r="Z14" s="44" t="str">
        <f>IF(AND('Mapa final'!$AA$61="Muy Alta",'Mapa final'!$AC$61="Moderado"),CONCATENATE("R9C",'Mapa final'!$Q$61),"")</f>
        <v/>
      </c>
      <c r="AA14" s="40" t="str">
        <f>IF(AND('Mapa final'!$AA$62="Muy Alta",'Mapa final'!$AC$62="Moderado"),CONCATENATE("R9C",'Mapa final'!$Q$62),"")</f>
        <v/>
      </c>
      <c r="AB14" s="38" t="str">
        <f>IF(AND('Mapa final'!$AA$57="Muy Alta",'Mapa final'!$AC$57="Mayor"),CONCATENATE("R9C",'Mapa final'!$Q$57),"")</f>
        <v/>
      </c>
      <c r="AC14" s="39" t="str">
        <f>IF(AND('Mapa final'!$AA$58="Muy Alta",'Mapa final'!$AC$58="Mayor"),CONCATENATE("R9C",'Mapa final'!$Q$58),"")</f>
        <v/>
      </c>
      <c r="AD14" s="44" t="str">
        <f>IF(AND('Mapa final'!$AA$59="Muy Alta",'Mapa final'!$AC$59="Mayor"),CONCATENATE("R9C",'Mapa final'!$Q$59),"")</f>
        <v/>
      </c>
      <c r="AE14" s="44" t="str">
        <f>IF(AND('Mapa final'!$AA$60="Muy Alta",'Mapa final'!$AC$60="Mayor"),CONCATENATE("R9C",'Mapa final'!$Q$60),"")</f>
        <v/>
      </c>
      <c r="AF14" s="44" t="str">
        <f>IF(AND('Mapa final'!$AA$61="Muy Alta",'Mapa final'!$AC$61="Mayor"),CONCATENATE("R9C",'Mapa final'!$Q$61),"")</f>
        <v/>
      </c>
      <c r="AG14" s="40" t="str">
        <f>IF(AND('Mapa final'!$AA$62="Muy Alta",'Mapa final'!$AC$62="Mayor"),CONCATENATE("R9C",'Mapa final'!$Q$62),"")</f>
        <v/>
      </c>
      <c r="AH14" s="41" t="str">
        <f>IF(AND('Mapa final'!$AA$57="Muy Alta",'Mapa final'!$AC$57="Catastrófico"),CONCATENATE("R9C",'Mapa final'!$Q$57),"")</f>
        <v/>
      </c>
      <c r="AI14" s="42" t="str">
        <f>IF(AND('Mapa final'!$AA$58="Muy Alta",'Mapa final'!$AC$58="Catastrófico"),CONCATENATE("R9C",'Mapa final'!$Q$58),"")</f>
        <v/>
      </c>
      <c r="AJ14" s="42" t="str">
        <f>IF(AND('Mapa final'!$AA$59="Muy Alta",'Mapa final'!$AC$59="Catastrófico"),CONCATENATE("R9C",'Mapa final'!$Q$59),"")</f>
        <v/>
      </c>
      <c r="AK14" s="42" t="str">
        <f>IF(AND('Mapa final'!$AA$60="Muy Alta",'Mapa final'!$AC$60="Catastrófico"),CONCATENATE("R9C",'Mapa final'!$Q$60),"")</f>
        <v/>
      </c>
      <c r="AL14" s="42" t="str">
        <f>IF(AND('Mapa final'!$AA$61="Muy Alta",'Mapa final'!$AC$61="Catastrófico"),CONCATENATE("R9C",'Mapa final'!$Q$61),"")</f>
        <v/>
      </c>
      <c r="AM14" s="43" t="str">
        <f>IF(AND('Mapa final'!$AA$62="Muy Alta",'Mapa final'!$AC$62="Catastrófico"),CONCATENATE("R9C",'Mapa final'!$Q$62),"")</f>
        <v/>
      </c>
      <c r="AN14" s="70"/>
      <c r="AO14" s="342"/>
      <c r="AP14" s="343"/>
      <c r="AQ14" s="343"/>
      <c r="AR14" s="343"/>
      <c r="AS14" s="343"/>
      <c r="AT14" s="344"/>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34"/>
      <c r="C15" s="234"/>
      <c r="D15" s="235"/>
      <c r="E15" s="337"/>
      <c r="F15" s="338"/>
      <c r="G15" s="338"/>
      <c r="H15" s="338"/>
      <c r="I15" s="352"/>
      <c r="J15" s="45" t="str">
        <f>IF(AND('Mapa final'!$AA$63="Muy Alta",'Mapa final'!$AC$63="Leve"),CONCATENATE("R10C",'Mapa final'!$Q$63),"")</f>
        <v/>
      </c>
      <c r="K15" s="46" t="str">
        <f>IF(AND('Mapa final'!$AA$64="Muy Alta",'Mapa final'!$AC$64="Leve"),CONCATENATE("R10C",'Mapa final'!$Q$64),"")</f>
        <v/>
      </c>
      <c r="L15" s="46" t="str">
        <f>IF(AND('Mapa final'!$AA$65="Muy Alta",'Mapa final'!$AC$65="Leve"),CONCATENATE("R10C",'Mapa final'!$Q$65),"")</f>
        <v/>
      </c>
      <c r="M15" s="46" t="str">
        <f>IF(AND('Mapa final'!$AA$66="Muy Alta",'Mapa final'!$AC$66="Leve"),CONCATENATE("R10C",'Mapa final'!$Q$66),"")</f>
        <v/>
      </c>
      <c r="N15" s="46" t="str">
        <f>IF(AND('Mapa final'!$AA$67="Muy Alta",'Mapa final'!$AC$67="Leve"),CONCATENATE("R10C",'Mapa final'!$Q$67),"")</f>
        <v/>
      </c>
      <c r="O15" s="47" t="str">
        <f>IF(AND('Mapa final'!$AA$68="Muy Alta",'Mapa final'!$AC$68="Leve"),CONCATENATE("R10C",'Mapa final'!$Q$68),"")</f>
        <v/>
      </c>
      <c r="P15" s="38" t="str">
        <f>IF(AND('Mapa final'!$AA$63="Muy Alta",'Mapa final'!$AC$63="Menor"),CONCATENATE("R10C",'Mapa final'!$Q$63),"")</f>
        <v/>
      </c>
      <c r="Q15" s="39" t="str">
        <f>IF(AND('Mapa final'!$AA$64="Muy Alta",'Mapa final'!$AC$64="Menor"),CONCATENATE("R10C",'Mapa final'!$Q$64),"")</f>
        <v/>
      </c>
      <c r="R15" s="39" t="str">
        <f>IF(AND('Mapa final'!$AA$65="Muy Alta",'Mapa final'!$AC$65="Menor"),CONCATENATE("R10C",'Mapa final'!$Q$65),"")</f>
        <v/>
      </c>
      <c r="S15" s="39" t="str">
        <f>IF(AND('Mapa final'!$AA$66="Muy Alta",'Mapa final'!$AC$66="Menor"),CONCATENATE("R10C",'Mapa final'!$Q$66),"")</f>
        <v/>
      </c>
      <c r="T15" s="39" t="str">
        <f>IF(AND('Mapa final'!$AA$67="Muy Alta",'Mapa final'!$AC$67="Menor"),CONCATENATE("R10C",'Mapa final'!$Q$67),"")</f>
        <v/>
      </c>
      <c r="U15" s="40" t="str">
        <f>IF(AND('Mapa final'!$AA$68="Muy Alta",'Mapa final'!$AC$68="Menor"),CONCATENATE("R10C",'Mapa final'!$Q$68),"")</f>
        <v/>
      </c>
      <c r="V15" s="45" t="str">
        <f>IF(AND('Mapa final'!$AA$63="Muy Alta",'Mapa final'!$AC$63="Moderado"),CONCATENATE("R10C",'Mapa final'!$Q$63),"")</f>
        <v/>
      </c>
      <c r="W15" s="46" t="str">
        <f>IF(AND('Mapa final'!$AA$64="Muy Alta",'Mapa final'!$AC$64="Moderado"),CONCATENATE("R10C",'Mapa final'!$Q$64),"")</f>
        <v/>
      </c>
      <c r="X15" s="46" t="str">
        <f>IF(AND('Mapa final'!$AA$65="Muy Alta",'Mapa final'!$AC$65="Moderado"),CONCATENATE("R10C",'Mapa final'!$Q$65),"")</f>
        <v/>
      </c>
      <c r="Y15" s="46" t="str">
        <f>IF(AND('Mapa final'!$AA$66="Muy Alta",'Mapa final'!$AC$66="Moderado"),CONCATENATE("R10C",'Mapa final'!$Q$66),"")</f>
        <v/>
      </c>
      <c r="Z15" s="46" t="str">
        <f>IF(AND('Mapa final'!$AA$67="Muy Alta",'Mapa final'!$AC$67="Moderado"),CONCATENATE("R10C",'Mapa final'!$Q$67),"")</f>
        <v/>
      </c>
      <c r="AA15" s="47" t="str">
        <f>IF(AND('Mapa final'!$AA$68="Muy Alta",'Mapa final'!$AC$68="Moderado"),CONCATENATE("R10C",'Mapa final'!$Q$68),"")</f>
        <v/>
      </c>
      <c r="AB15" s="38" t="str">
        <f>IF(AND('Mapa final'!$AA$63="Muy Alta",'Mapa final'!$AC$63="Mayor"),CONCATENATE("R10C",'Mapa final'!$Q$63),"")</f>
        <v/>
      </c>
      <c r="AC15" s="39" t="str">
        <f>IF(AND('Mapa final'!$AA$64="Muy Alta",'Mapa final'!$AC$64="Mayor"),CONCATENATE("R10C",'Mapa final'!$Q$64),"")</f>
        <v/>
      </c>
      <c r="AD15" s="39" t="str">
        <f>IF(AND('Mapa final'!$AA$65="Muy Alta",'Mapa final'!$AC$65="Mayor"),CONCATENATE("R10C",'Mapa final'!$Q$65),"")</f>
        <v/>
      </c>
      <c r="AE15" s="39" t="str">
        <f>IF(AND('Mapa final'!$AA$66="Muy Alta",'Mapa final'!$AC$66="Mayor"),CONCATENATE("R10C",'Mapa final'!$Q$66),"")</f>
        <v/>
      </c>
      <c r="AF15" s="39" t="str">
        <f>IF(AND('Mapa final'!$AA$67="Muy Alta",'Mapa final'!$AC$67="Mayor"),CONCATENATE("R10C",'Mapa final'!$Q$67),"")</f>
        <v/>
      </c>
      <c r="AG15" s="40" t="str">
        <f>IF(AND('Mapa final'!$AA$68="Muy Alta",'Mapa final'!$AC$68="Mayor"),CONCATENATE("R10C",'Mapa final'!$Q$68),"")</f>
        <v/>
      </c>
      <c r="AH15" s="48" t="str">
        <f>IF(AND('Mapa final'!$AA$63="Muy Alta",'Mapa final'!$AC$63="Catastrófico"),CONCATENATE("R10C",'Mapa final'!$Q$63),"")</f>
        <v/>
      </c>
      <c r="AI15" s="49" t="str">
        <f>IF(AND('Mapa final'!$AA$64="Muy Alta",'Mapa final'!$AC$64="Catastrófico"),CONCATENATE("R10C",'Mapa final'!$Q$64),"")</f>
        <v/>
      </c>
      <c r="AJ15" s="49" t="str">
        <f>IF(AND('Mapa final'!$AA$65="Muy Alta",'Mapa final'!$AC$65="Catastrófico"),CONCATENATE("R10C",'Mapa final'!$Q$65),"")</f>
        <v/>
      </c>
      <c r="AK15" s="49" t="str">
        <f>IF(AND('Mapa final'!$AA$66="Muy Alta",'Mapa final'!$AC$66="Catastrófico"),CONCATENATE("R10C",'Mapa final'!$Q$66),"")</f>
        <v/>
      </c>
      <c r="AL15" s="49" t="str">
        <f>IF(AND('Mapa final'!$AA$67="Muy Alta",'Mapa final'!$AC$67="Catastrófico"),CONCATENATE("R10C",'Mapa final'!$Q$67),"")</f>
        <v/>
      </c>
      <c r="AM15" s="50" t="str">
        <f>IF(AND('Mapa final'!$AA$68="Muy Alta",'Mapa final'!$AC$68="Catastrófico"),CONCATENATE("R10C",'Mapa final'!$Q$68),"")</f>
        <v/>
      </c>
      <c r="AN15" s="70"/>
      <c r="AO15" s="345"/>
      <c r="AP15" s="346"/>
      <c r="AQ15" s="346"/>
      <c r="AR15" s="346"/>
      <c r="AS15" s="346"/>
      <c r="AT15" s="347"/>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34"/>
      <c r="C16" s="234"/>
      <c r="D16" s="235"/>
      <c r="E16" s="331" t="s">
        <v>111</v>
      </c>
      <c r="F16" s="332"/>
      <c r="G16" s="332"/>
      <c r="H16" s="332"/>
      <c r="I16" s="332"/>
      <c r="J16" s="51" t="str">
        <f ca="1">IF(AND('Mapa final'!$AA$9="Alta",'Mapa final'!$AC$9="Leve"),CONCATENATE("R1C",'Mapa final'!$Q$9),"")</f>
        <v/>
      </c>
      <c r="K16" s="52" t="str">
        <f ca="1">IF(AND('Mapa final'!$AA$10="Alta",'Mapa final'!$AC$10="Leve"),CONCATENATE("R1C",'Mapa final'!$Q$10),"")</f>
        <v/>
      </c>
      <c r="L16" s="52" t="str">
        <f>IF(AND('Mapa final'!$AA$11="Alta",'Mapa final'!$AC$11="Leve"),CONCATENATE("R1C",'Mapa final'!$Q$11),"")</f>
        <v/>
      </c>
      <c r="M16" s="52" t="str">
        <f>IF(AND('Mapa final'!$AA$12="Alta",'Mapa final'!$AC$12="Leve"),CONCATENATE("R1C",'Mapa final'!$Q$12),"")</f>
        <v/>
      </c>
      <c r="N16" s="52" t="str">
        <f>IF(AND('Mapa final'!$AA$13="Alta",'Mapa final'!$AC$13="Leve"),CONCATENATE("R1C",'Mapa final'!$Q$13),"")</f>
        <v/>
      </c>
      <c r="O16" s="53" t="str">
        <f>IF(AND('Mapa final'!$AA$14="Alta",'Mapa final'!$AC$14="Leve"),CONCATENATE("R1C",'Mapa final'!$Q$14),"")</f>
        <v/>
      </c>
      <c r="P16" s="51" t="str">
        <f ca="1">IF(AND('Mapa final'!$AA$9="Alta",'Mapa final'!$AC$9="Menor"),CONCATENATE("R1C",'Mapa final'!$Q$9),"")</f>
        <v/>
      </c>
      <c r="Q16" s="52" t="str">
        <f ca="1">IF(AND('Mapa final'!$AA$10="Alta",'Mapa final'!$AC$10="Menor"),CONCATENATE("R1C",'Mapa final'!$Q$10),"")</f>
        <v/>
      </c>
      <c r="R16" s="52" t="str">
        <f>IF(AND('Mapa final'!$AA$11="Alta",'Mapa final'!$AC$11="Menor"),CONCATENATE("R1C",'Mapa final'!$Q$11),"")</f>
        <v/>
      </c>
      <c r="S16" s="52" t="str">
        <f>IF(AND('Mapa final'!$AA$12="Alta",'Mapa final'!$AC$12="Menor"),CONCATENATE("R1C",'Mapa final'!$Q$12),"")</f>
        <v/>
      </c>
      <c r="T16" s="52" t="str">
        <f>IF(AND('Mapa final'!$AA$13="Alta",'Mapa final'!$AC$13="Menor"),CONCATENATE("R1C",'Mapa final'!$Q$13),"")</f>
        <v/>
      </c>
      <c r="U16" s="53" t="str">
        <f>IF(AND('Mapa final'!$AA$14="Alta",'Mapa final'!$AC$14="Menor"),CONCATENATE("R1C",'Mapa final'!$Q$14),"")</f>
        <v/>
      </c>
      <c r="V16" s="32" t="str">
        <f ca="1">IF(AND('Mapa final'!$AA$9="Alta",'Mapa final'!$AC$9="Moderado"),CONCATENATE("R1C",'Mapa final'!$Q$9),"")</f>
        <v/>
      </c>
      <c r="W16" s="33" t="str">
        <f ca="1">IF(AND('Mapa final'!$AA$10="Alta",'Mapa final'!$AC$10="Moderado"),CONCATENATE("R1C",'Mapa final'!$Q$10),"")</f>
        <v/>
      </c>
      <c r="X16" s="33" t="str">
        <f>IF(AND('Mapa final'!$AA$11="Alta",'Mapa final'!$AC$11="Moderado"),CONCATENATE("R1C",'Mapa final'!$Q$11),"")</f>
        <v/>
      </c>
      <c r="Y16" s="33" t="str">
        <f>IF(AND('Mapa final'!$AA$12="Alta",'Mapa final'!$AC$12="Moderado"),CONCATENATE("R1C",'Mapa final'!$Q$12),"")</f>
        <v/>
      </c>
      <c r="Z16" s="33" t="str">
        <f>IF(AND('Mapa final'!$AA$13="Alta",'Mapa final'!$AC$13="Moderado"),CONCATENATE("R1C",'Mapa final'!$Q$13),"")</f>
        <v/>
      </c>
      <c r="AA16" s="34" t="str">
        <f>IF(AND('Mapa final'!$AA$14="Alta",'Mapa final'!$AC$14="Moderado"),CONCATENATE("R1C",'Mapa final'!$Q$14),"")</f>
        <v/>
      </c>
      <c r="AB16" s="32" t="str">
        <f ca="1">IF(AND('Mapa final'!$AA$9="Alta",'Mapa final'!$AC$9="Mayor"),CONCATENATE("R1C",'Mapa final'!$Q$9),"")</f>
        <v/>
      </c>
      <c r="AC16" s="33" t="str">
        <f ca="1">IF(AND('Mapa final'!$AA$10="Alta",'Mapa final'!$AC$10="Mayor"),CONCATENATE("R1C",'Mapa final'!$Q$10),"")</f>
        <v/>
      </c>
      <c r="AD16" s="33" t="str">
        <f>IF(AND('Mapa final'!$AA$11="Alta",'Mapa final'!$AC$11="Mayor"),CONCATENATE("R1C",'Mapa final'!$Q$11),"")</f>
        <v/>
      </c>
      <c r="AE16" s="33" t="str">
        <f>IF(AND('Mapa final'!$AA$12="Alta",'Mapa final'!$AC$12="Mayor"),CONCATENATE("R1C",'Mapa final'!$Q$12),"")</f>
        <v/>
      </c>
      <c r="AF16" s="33" t="str">
        <f>IF(AND('Mapa final'!$AA$13="Alta",'Mapa final'!$AC$13="Mayor"),CONCATENATE("R1C",'Mapa final'!$Q$13),"")</f>
        <v/>
      </c>
      <c r="AG16" s="34" t="str">
        <f>IF(AND('Mapa final'!$AA$14="Alta",'Mapa final'!$AC$14="Mayor"),CONCATENATE("R1C",'Mapa final'!$Q$14),"")</f>
        <v/>
      </c>
      <c r="AH16" s="35" t="str">
        <f ca="1">IF(AND('Mapa final'!$AA$9="Alta",'Mapa final'!$AC$9="Catastrófico"),CONCATENATE("R1C",'Mapa final'!$Q$9),"")</f>
        <v/>
      </c>
      <c r="AI16" s="36" t="str">
        <f ca="1">IF(AND('Mapa final'!$AA$10="Alta",'Mapa final'!$AC$10="Catastrófico"),CONCATENATE("R1C",'Mapa final'!$Q$10),"")</f>
        <v/>
      </c>
      <c r="AJ16" s="36" t="str">
        <f>IF(AND('Mapa final'!$AA$11="Alta",'Mapa final'!$AC$11="Catastrófico"),CONCATENATE("R1C",'Mapa final'!$Q$11),"")</f>
        <v/>
      </c>
      <c r="AK16" s="36" t="str">
        <f>IF(AND('Mapa final'!$AA$12="Alta",'Mapa final'!$AC$12="Catastrófico"),CONCATENATE("R1C",'Mapa final'!$Q$12),"")</f>
        <v/>
      </c>
      <c r="AL16" s="36" t="str">
        <f>IF(AND('Mapa final'!$AA$13="Alta",'Mapa final'!$AC$13="Catastrófico"),CONCATENATE("R1C",'Mapa final'!$Q$13),"")</f>
        <v/>
      </c>
      <c r="AM16" s="37" t="str">
        <f>IF(AND('Mapa final'!$AA$14="Alta",'Mapa final'!$AC$14="Catastrófico"),CONCATENATE("R1C",'Mapa final'!$Q$14),"")</f>
        <v/>
      </c>
      <c r="AN16" s="70"/>
      <c r="AO16" s="322" t="s">
        <v>76</v>
      </c>
      <c r="AP16" s="323"/>
      <c r="AQ16" s="323"/>
      <c r="AR16" s="323"/>
      <c r="AS16" s="323"/>
      <c r="AT16" s="324"/>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34"/>
      <c r="C17" s="234"/>
      <c r="D17" s="235"/>
      <c r="E17" s="333"/>
      <c r="F17" s="334"/>
      <c r="G17" s="334"/>
      <c r="H17" s="334"/>
      <c r="I17" s="334"/>
      <c r="J17" s="54" t="str">
        <f ca="1">IF(AND('Mapa final'!$AA$15="Alta",'Mapa final'!$AC$15="Leve"),CONCATENATE("R2C",'Mapa final'!$Q$15),"")</f>
        <v/>
      </c>
      <c r="K17" s="55" t="str">
        <f ca="1">IF(AND('Mapa final'!$AA$16="Alta",'Mapa final'!$AC$16="Leve"),CONCATENATE("R2C",'Mapa final'!$Q$16),"")</f>
        <v/>
      </c>
      <c r="L17" s="55" t="str">
        <f>IF(AND('Mapa final'!$AA$17="Alta",'Mapa final'!$AC$17="Leve"),CONCATENATE("R2C",'Mapa final'!$Q$17),"")</f>
        <v/>
      </c>
      <c r="M17" s="55" t="str">
        <f>IF(AND('Mapa final'!$AA$18="Alta",'Mapa final'!$AC$18="Leve"),CONCATENATE("R2C",'Mapa final'!$Q$18),"")</f>
        <v/>
      </c>
      <c r="N17" s="55" t="str">
        <f>IF(AND('Mapa final'!$AA$19="Alta",'Mapa final'!$AC$19="Leve"),CONCATENATE("R2C",'Mapa final'!$Q$19),"")</f>
        <v/>
      </c>
      <c r="O17" s="56" t="str">
        <f>IF(AND('Mapa final'!$AA$20="Alta",'Mapa final'!$AC$20="Leve"),CONCATENATE("R2C",'Mapa final'!$Q$20),"")</f>
        <v/>
      </c>
      <c r="P17" s="54" t="str">
        <f ca="1">IF(AND('Mapa final'!$AA$15="Alta",'Mapa final'!$AC$15="Menor"),CONCATENATE("R2C",'Mapa final'!$Q$15),"")</f>
        <v/>
      </c>
      <c r="Q17" s="55" t="str">
        <f ca="1">IF(AND('Mapa final'!$AA$16="Alta",'Mapa final'!$AC$16="Menor"),CONCATENATE("R2C",'Mapa final'!$Q$16),"")</f>
        <v/>
      </c>
      <c r="R17" s="55" t="str">
        <f>IF(AND('Mapa final'!$AA$17="Alta",'Mapa final'!$AC$17="Menor"),CONCATENATE("R2C",'Mapa final'!$Q$17),"")</f>
        <v/>
      </c>
      <c r="S17" s="55" t="str">
        <f>IF(AND('Mapa final'!$AA$18="Alta",'Mapa final'!$AC$18="Menor"),CONCATENATE("R2C",'Mapa final'!$Q$18),"")</f>
        <v/>
      </c>
      <c r="T17" s="55" t="str">
        <f>IF(AND('Mapa final'!$AA$19="Alta",'Mapa final'!$AC$19="Menor"),CONCATENATE("R2C",'Mapa final'!$Q$19),"")</f>
        <v/>
      </c>
      <c r="U17" s="56" t="str">
        <f>IF(AND('Mapa final'!$AA$20="Alta",'Mapa final'!$AC$20="Menor"),CONCATENATE("R2C",'Mapa final'!$Q$20),"")</f>
        <v/>
      </c>
      <c r="V17" s="38" t="str">
        <f ca="1">IF(AND('Mapa final'!$AA$15="Alta",'Mapa final'!$AC$15="Moderado"),CONCATENATE("R2C",'Mapa final'!$Q$15),"")</f>
        <v/>
      </c>
      <c r="W17" s="39" t="str">
        <f ca="1">IF(AND('Mapa final'!$AA$16="Alta",'Mapa final'!$AC$16="Moderado"),CONCATENATE("R2C",'Mapa final'!$Q$16),"")</f>
        <v/>
      </c>
      <c r="X17" s="39" t="str">
        <f>IF(AND('Mapa final'!$AA$17="Alta",'Mapa final'!$AC$17="Moderado"),CONCATENATE("R2C",'Mapa final'!$Q$17),"")</f>
        <v/>
      </c>
      <c r="Y17" s="39" t="str">
        <f>IF(AND('Mapa final'!$AA$18="Alta",'Mapa final'!$AC$18="Moderado"),CONCATENATE("R2C",'Mapa final'!$Q$18),"")</f>
        <v/>
      </c>
      <c r="Z17" s="39" t="str">
        <f>IF(AND('Mapa final'!$AA$19="Alta",'Mapa final'!$AC$19="Moderado"),CONCATENATE("R2C",'Mapa final'!$Q$19),"")</f>
        <v/>
      </c>
      <c r="AA17" s="40" t="str">
        <f>IF(AND('Mapa final'!$AA$20="Alta",'Mapa final'!$AC$20="Moderado"),CONCATENATE("R2C",'Mapa final'!$Q$20),"")</f>
        <v/>
      </c>
      <c r="AB17" s="38" t="str">
        <f ca="1">IF(AND('Mapa final'!$AA$15="Alta",'Mapa final'!$AC$15="Mayor"),CONCATENATE("R2C",'Mapa final'!$Q$15),"")</f>
        <v/>
      </c>
      <c r="AC17" s="39" t="str">
        <f ca="1">IF(AND('Mapa final'!$AA$16="Alta",'Mapa final'!$AC$16="Mayor"),CONCATENATE("R2C",'Mapa final'!$Q$16),"")</f>
        <v/>
      </c>
      <c r="AD17" s="39" t="str">
        <f>IF(AND('Mapa final'!$AA$17="Alta",'Mapa final'!$AC$17="Mayor"),CONCATENATE("R2C",'Mapa final'!$Q$17),"")</f>
        <v/>
      </c>
      <c r="AE17" s="39" t="str">
        <f>IF(AND('Mapa final'!$AA$18="Alta",'Mapa final'!$AC$18="Mayor"),CONCATENATE("R2C",'Mapa final'!$Q$18),"")</f>
        <v/>
      </c>
      <c r="AF17" s="39" t="str">
        <f>IF(AND('Mapa final'!$AA$19="Alta",'Mapa final'!$AC$19="Mayor"),CONCATENATE("R2C",'Mapa final'!$Q$19),"")</f>
        <v/>
      </c>
      <c r="AG17" s="40" t="str">
        <f>IF(AND('Mapa final'!$AA$20="Alta",'Mapa final'!$AC$20="Mayor"),CONCATENATE("R2C",'Mapa final'!$Q$20),"")</f>
        <v/>
      </c>
      <c r="AH17" s="41" t="str">
        <f ca="1">IF(AND('Mapa final'!$AA$15="Alta",'Mapa final'!$AC$15="Catastrófico"),CONCATENATE("R2C",'Mapa final'!$Q$15),"")</f>
        <v/>
      </c>
      <c r="AI17" s="42" t="str">
        <f ca="1">IF(AND('Mapa final'!$AA$16="Alta",'Mapa final'!$AC$16="Catastrófico"),CONCATENATE("R2C",'Mapa final'!$Q$16),"")</f>
        <v/>
      </c>
      <c r="AJ17" s="42" t="str">
        <f>IF(AND('Mapa final'!$AA$17="Alta",'Mapa final'!$AC$17="Catastrófico"),CONCATENATE("R2C",'Mapa final'!$Q$17),"")</f>
        <v/>
      </c>
      <c r="AK17" s="42" t="str">
        <f>IF(AND('Mapa final'!$AA$18="Alta",'Mapa final'!$AC$18="Catastrófico"),CONCATENATE("R2C",'Mapa final'!$Q$18),"")</f>
        <v/>
      </c>
      <c r="AL17" s="42" t="str">
        <f>IF(AND('Mapa final'!$AA$19="Alta",'Mapa final'!$AC$19="Catastrófico"),CONCATENATE("R2C",'Mapa final'!$Q$19),"")</f>
        <v/>
      </c>
      <c r="AM17" s="43" t="str">
        <f>IF(AND('Mapa final'!$AA$20="Alta",'Mapa final'!$AC$20="Catastrófico"),CONCATENATE("R2C",'Mapa final'!$Q$20),"")</f>
        <v/>
      </c>
      <c r="AN17" s="70"/>
      <c r="AO17" s="325"/>
      <c r="AP17" s="326"/>
      <c r="AQ17" s="326"/>
      <c r="AR17" s="326"/>
      <c r="AS17" s="326"/>
      <c r="AT17" s="327"/>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34"/>
      <c r="C18" s="234"/>
      <c r="D18" s="235"/>
      <c r="E18" s="335"/>
      <c r="F18" s="336"/>
      <c r="G18" s="336"/>
      <c r="H18" s="336"/>
      <c r="I18" s="334"/>
      <c r="J18" s="54" t="str">
        <f ca="1">IF(AND('Mapa final'!$AA$21="Alta",'Mapa final'!$AC$21="Leve"),CONCATENATE("R3C",'Mapa final'!$Q$21),"")</f>
        <v/>
      </c>
      <c r="K18" s="55" t="str">
        <f>IF(AND('Mapa final'!$AA$22="Alta",'Mapa final'!$AC$22="Leve"),CONCATENATE("R3C",'Mapa final'!$Q$22),"")</f>
        <v/>
      </c>
      <c r="L18" s="55" t="str">
        <f>IF(AND('Mapa final'!$AA$23="Alta",'Mapa final'!$AC$23="Leve"),CONCATENATE("R3C",'Mapa final'!$Q$23),"")</f>
        <v/>
      </c>
      <c r="M18" s="55" t="str">
        <f>IF(AND('Mapa final'!$AA$24="Alta",'Mapa final'!$AC$24="Leve"),CONCATENATE("R3C",'Mapa final'!$Q$24),"")</f>
        <v/>
      </c>
      <c r="N18" s="55" t="str">
        <f>IF(AND('Mapa final'!$AA$25="Alta",'Mapa final'!$AC$25="Leve"),CONCATENATE("R3C",'Mapa final'!$Q$25),"")</f>
        <v/>
      </c>
      <c r="O18" s="56" t="str">
        <f>IF(AND('Mapa final'!$AA$26="Alta",'Mapa final'!$AC$26="Leve"),CONCATENATE("R3C",'Mapa final'!$Q$26),"")</f>
        <v/>
      </c>
      <c r="P18" s="54" t="str">
        <f ca="1">IF(AND('Mapa final'!$AA$21="Alta",'Mapa final'!$AC$21="Menor"),CONCATENATE("R3C",'Mapa final'!$Q$21),"")</f>
        <v/>
      </c>
      <c r="Q18" s="55" t="str">
        <f>IF(AND('Mapa final'!$AA$22="Alta",'Mapa final'!$AC$22="Menor"),CONCATENATE("R3C",'Mapa final'!$Q$22),"")</f>
        <v/>
      </c>
      <c r="R18" s="55" t="str">
        <f>IF(AND('Mapa final'!$AA$23="Alta",'Mapa final'!$AC$23="Menor"),CONCATENATE("R3C",'Mapa final'!$Q$23),"")</f>
        <v/>
      </c>
      <c r="S18" s="55" t="str">
        <f>IF(AND('Mapa final'!$AA$24="Alta",'Mapa final'!$AC$24="Menor"),CONCATENATE("R3C",'Mapa final'!$Q$24),"")</f>
        <v/>
      </c>
      <c r="T18" s="55" t="str">
        <f>IF(AND('Mapa final'!$AA$25="Alta",'Mapa final'!$AC$25="Menor"),CONCATENATE("R3C",'Mapa final'!$Q$25),"")</f>
        <v/>
      </c>
      <c r="U18" s="56" t="str">
        <f>IF(AND('Mapa final'!$AA$26="Alta",'Mapa final'!$AC$26="Menor"),CONCATENATE("R3C",'Mapa final'!$Q$26),"")</f>
        <v/>
      </c>
      <c r="V18" s="38" t="str">
        <f ca="1">IF(AND('Mapa final'!$AA$21="Alta",'Mapa final'!$AC$21="Moderado"),CONCATENATE("R3C",'Mapa final'!$Q$21),"")</f>
        <v/>
      </c>
      <c r="W18" s="39" t="str">
        <f>IF(AND('Mapa final'!$AA$22="Alta",'Mapa final'!$AC$22="Moderado"),CONCATENATE("R3C",'Mapa final'!$Q$22),"")</f>
        <v/>
      </c>
      <c r="X18" s="39" t="str">
        <f>IF(AND('Mapa final'!$AA$23="Alta",'Mapa final'!$AC$23="Moderado"),CONCATENATE("R3C",'Mapa final'!$Q$23),"")</f>
        <v/>
      </c>
      <c r="Y18" s="39" t="str">
        <f>IF(AND('Mapa final'!$AA$24="Alta",'Mapa final'!$AC$24="Moderado"),CONCATENATE("R3C",'Mapa final'!$Q$24),"")</f>
        <v/>
      </c>
      <c r="Z18" s="39" t="str">
        <f>IF(AND('Mapa final'!$AA$25="Alta",'Mapa final'!$AC$25="Moderado"),CONCATENATE("R3C",'Mapa final'!$Q$25),"")</f>
        <v/>
      </c>
      <c r="AA18" s="40" t="str">
        <f>IF(AND('Mapa final'!$AA$26="Alta",'Mapa final'!$AC$26="Moderado"),CONCATENATE("R3C",'Mapa final'!$Q$26),"")</f>
        <v/>
      </c>
      <c r="AB18" s="38" t="str">
        <f ca="1">IF(AND('Mapa final'!$AA$21="Alta",'Mapa final'!$AC$21="Mayor"),CONCATENATE("R3C",'Mapa final'!$Q$21),"")</f>
        <v/>
      </c>
      <c r="AC18" s="39" t="str">
        <f>IF(AND('Mapa final'!$AA$22="Alta",'Mapa final'!$AC$22="Mayor"),CONCATENATE("R3C",'Mapa final'!$Q$22),"")</f>
        <v/>
      </c>
      <c r="AD18" s="39" t="str">
        <f>IF(AND('Mapa final'!$AA$23="Alta",'Mapa final'!$AC$23="Mayor"),CONCATENATE("R3C",'Mapa final'!$Q$23),"")</f>
        <v/>
      </c>
      <c r="AE18" s="39" t="str">
        <f>IF(AND('Mapa final'!$AA$24="Alta",'Mapa final'!$AC$24="Mayor"),CONCATENATE("R3C",'Mapa final'!$Q$24),"")</f>
        <v/>
      </c>
      <c r="AF18" s="39" t="str">
        <f>IF(AND('Mapa final'!$AA$25="Alta",'Mapa final'!$AC$25="Mayor"),CONCATENATE("R3C",'Mapa final'!$Q$25),"")</f>
        <v/>
      </c>
      <c r="AG18" s="40" t="str">
        <f>IF(AND('Mapa final'!$AA$26="Alta",'Mapa final'!$AC$26="Mayor"),CONCATENATE("R3C",'Mapa final'!$Q$26),"")</f>
        <v/>
      </c>
      <c r="AH18" s="41" t="str">
        <f ca="1">IF(AND('Mapa final'!$AA$21="Alta",'Mapa final'!$AC$21="Catastrófico"),CONCATENATE("R3C",'Mapa final'!$Q$21),"")</f>
        <v/>
      </c>
      <c r="AI18" s="42" t="str">
        <f>IF(AND('Mapa final'!$AA$22="Alta",'Mapa final'!$AC$22="Catastrófico"),CONCATENATE("R3C",'Mapa final'!$Q$22),"")</f>
        <v/>
      </c>
      <c r="AJ18" s="42" t="str">
        <f>IF(AND('Mapa final'!$AA$23="Alta",'Mapa final'!$AC$23="Catastrófico"),CONCATENATE("R3C",'Mapa final'!$Q$23),"")</f>
        <v/>
      </c>
      <c r="AK18" s="42" t="str">
        <f>IF(AND('Mapa final'!$AA$24="Alta",'Mapa final'!$AC$24="Catastrófico"),CONCATENATE("R3C",'Mapa final'!$Q$24),"")</f>
        <v/>
      </c>
      <c r="AL18" s="42" t="str">
        <f>IF(AND('Mapa final'!$AA$25="Alta",'Mapa final'!$AC$25="Catastrófico"),CONCATENATE("R3C",'Mapa final'!$Q$25),"")</f>
        <v/>
      </c>
      <c r="AM18" s="43" t="str">
        <f>IF(AND('Mapa final'!$AA$26="Alta",'Mapa final'!$AC$26="Catastrófico"),CONCATENATE("R3C",'Mapa final'!$Q$26),"")</f>
        <v/>
      </c>
      <c r="AN18" s="70"/>
      <c r="AO18" s="325"/>
      <c r="AP18" s="326"/>
      <c r="AQ18" s="326"/>
      <c r="AR18" s="326"/>
      <c r="AS18" s="326"/>
      <c r="AT18" s="327"/>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34"/>
      <c r="C19" s="234"/>
      <c r="D19" s="235"/>
      <c r="E19" s="335"/>
      <c r="F19" s="336"/>
      <c r="G19" s="336"/>
      <c r="H19" s="336"/>
      <c r="I19" s="334"/>
      <c r="J19" s="54" t="str">
        <f ca="1">IF(AND('Mapa final'!$AA$27="Alta",'Mapa final'!$AC$27="Leve"),CONCATENATE("R4C",'Mapa final'!$Q$27),"")</f>
        <v/>
      </c>
      <c r="K19" s="55" t="str">
        <f ca="1">IF(AND('Mapa final'!$AA$28="Alta",'Mapa final'!$AC$28="Leve"),CONCATENATE("R4C",'Mapa final'!$Q$28),"")</f>
        <v/>
      </c>
      <c r="L19" s="55" t="str">
        <f ca="1">IF(AND('Mapa final'!$AA$29="Alta",'Mapa final'!$AC$29="Leve"),CONCATENATE("R4C",'Mapa final'!$Q$29),"")</f>
        <v/>
      </c>
      <c r="M19" s="55" t="str">
        <f>IF(AND('Mapa final'!$AA$30="Alta",'Mapa final'!$AC$30="Leve"),CONCATENATE("R4C",'Mapa final'!$Q$30),"")</f>
        <v/>
      </c>
      <c r="N19" s="55" t="str">
        <f>IF(AND('Mapa final'!$AA$31="Alta",'Mapa final'!$AC$31="Leve"),CONCATENATE("R4C",'Mapa final'!$Q$31),"")</f>
        <v/>
      </c>
      <c r="O19" s="56" t="str">
        <f>IF(AND('Mapa final'!$AA$32="Alta",'Mapa final'!$AC$32="Leve"),CONCATENATE("R4C",'Mapa final'!$Q$32),"")</f>
        <v/>
      </c>
      <c r="P19" s="54" t="str">
        <f ca="1">IF(AND('Mapa final'!$AA$27="Alta",'Mapa final'!$AC$27="Menor"),CONCATENATE("R4C",'Mapa final'!$Q$27),"")</f>
        <v/>
      </c>
      <c r="Q19" s="55" t="str">
        <f ca="1">IF(AND('Mapa final'!$AA$28="Alta",'Mapa final'!$AC$28="Menor"),CONCATENATE("R4C",'Mapa final'!$Q$28),"")</f>
        <v/>
      </c>
      <c r="R19" s="55" t="str">
        <f ca="1">IF(AND('Mapa final'!$AA$29="Alta",'Mapa final'!$AC$29="Menor"),CONCATENATE("R4C",'Mapa final'!$Q$29),"")</f>
        <v/>
      </c>
      <c r="S19" s="55" t="str">
        <f>IF(AND('Mapa final'!$AA$30="Alta",'Mapa final'!$AC$30="Menor"),CONCATENATE("R4C",'Mapa final'!$Q$30),"")</f>
        <v/>
      </c>
      <c r="T19" s="55" t="str">
        <f>IF(AND('Mapa final'!$AA$31="Alta",'Mapa final'!$AC$31="Menor"),CONCATENATE("R4C",'Mapa final'!$Q$31),"")</f>
        <v/>
      </c>
      <c r="U19" s="56" t="str">
        <f>IF(AND('Mapa final'!$AA$32="Alta",'Mapa final'!$AC$32="Menor"),CONCATENATE("R4C",'Mapa final'!$Q$32),"")</f>
        <v/>
      </c>
      <c r="V19" s="38" t="str">
        <f ca="1">IF(AND('Mapa final'!$AA$27="Alta",'Mapa final'!$AC$27="Moderado"),CONCATENATE("R4C",'Mapa final'!$Q$27),"")</f>
        <v/>
      </c>
      <c r="W19" s="39" t="str">
        <f ca="1">IF(AND('Mapa final'!$AA$28="Alta",'Mapa final'!$AC$28="Moderado"),CONCATENATE("R4C",'Mapa final'!$Q$28),"")</f>
        <v/>
      </c>
      <c r="X19" s="44" t="str">
        <f ca="1">IF(AND('Mapa final'!$AA$29="Alta",'Mapa final'!$AC$29="Moderado"),CONCATENATE("R4C",'Mapa final'!$Q$29),"")</f>
        <v/>
      </c>
      <c r="Y19" s="44" t="str">
        <f>IF(AND('Mapa final'!$AA$30="Alta",'Mapa final'!$AC$30="Moderado"),CONCATENATE("R4C",'Mapa final'!$Q$30),"")</f>
        <v/>
      </c>
      <c r="Z19" s="44" t="str">
        <f>IF(AND('Mapa final'!$AA$31="Alta",'Mapa final'!$AC$31="Moderado"),CONCATENATE("R4C",'Mapa final'!$Q$31),"")</f>
        <v/>
      </c>
      <c r="AA19" s="40" t="str">
        <f>IF(AND('Mapa final'!$AA$32="Alta",'Mapa final'!$AC$32="Moderado"),CONCATENATE("R4C",'Mapa final'!$Q$32),"")</f>
        <v/>
      </c>
      <c r="AB19" s="38" t="str">
        <f ca="1">IF(AND('Mapa final'!$AA$27="Alta",'Mapa final'!$AC$27="Mayor"),CONCATENATE("R4C",'Mapa final'!$Q$27),"")</f>
        <v/>
      </c>
      <c r="AC19" s="39" t="str">
        <f ca="1">IF(AND('Mapa final'!$AA$28="Alta",'Mapa final'!$AC$28="Mayor"),CONCATENATE("R4C",'Mapa final'!$Q$28),"")</f>
        <v/>
      </c>
      <c r="AD19" s="44" t="str">
        <f ca="1">IF(AND('Mapa final'!$AA$29="Alta",'Mapa final'!$AC$29="Mayor"),CONCATENATE("R4C",'Mapa final'!$Q$29),"")</f>
        <v/>
      </c>
      <c r="AE19" s="44" t="str">
        <f>IF(AND('Mapa final'!$AA$30="Alta",'Mapa final'!$AC$30="Mayor"),CONCATENATE("R4C",'Mapa final'!$Q$30),"")</f>
        <v/>
      </c>
      <c r="AF19" s="44" t="str">
        <f>IF(AND('Mapa final'!$AA$31="Alta",'Mapa final'!$AC$31="Mayor"),CONCATENATE("R4C",'Mapa final'!$Q$31),"")</f>
        <v/>
      </c>
      <c r="AG19" s="40" t="str">
        <f>IF(AND('Mapa final'!$AA$32="Alta",'Mapa final'!$AC$32="Mayor"),CONCATENATE("R4C",'Mapa final'!$Q$32),"")</f>
        <v/>
      </c>
      <c r="AH19" s="41" t="str">
        <f ca="1">IF(AND('Mapa final'!$AA$27="Alta",'Mapa final'!$AC$27="Catastrófico"),CONCATENATE("R4C",'Mapa final'!$Q$27),"")</f>
        <v/>
      </c>
      <c r="AI19" s="42" t="str">
        <f ca="1">IF(AND('Mapa final'!$AA$28="Alta",'Mapa final'!$AC$28="Catastrófico"),CONCATENATE("R4C",'Mapa final'!$Q$28),"")</f>
        <v/>
      </c>
      <c r="AJ19" s="42" t="str">
        <f ca="1">IF(AND('Mapa final'!$AA$29="Alta",'Mapa final'!$AC$29="Catastrófico"),CONCATENATE("R4C",'Mapa final'!$Q$29),"")</f>
        <v/>
      </c>
      <c r="AK19" s="42" t="str">
        <f>IF(AND('Mapa final'!$AA$30="Alta",'Mapa final'!$AC$30="Catastrófico"),CONCATENATE("R4C",'Mapa final'!$Q$30),"")</f>
        <v/>
      </c>
      <c r="AL19" s="42" t="str">
        <f>IF(AND('Mapa final'!$AA$31="Alta",'Mapa final'!$AC$31="Catastrófico"),CONCATENATE("R4C",'Mapa final'!$Q$31),"")</f>
        <v/>
      </c>
      <c r="AM19" s="43" t="str">
        <f>IF(AND('Mapa final'!$AA$32="Alta",'Mapa final'!$AC$32="Catastrófico"),CONCATENATE("R4C",'Mapa final'!$Q$32),"")</f>
        <v/>
      </c>
      <c r="AN19" s="70"/>
      <c r="AO19" s="325"/>
      <c r="AP19" s="326"/>
      <c r="AQ19" s="326"/>
      <c r="AR19" s="326"/>
      <c r="AS19" s="326"/>
      <c r="AT19" s="327"/>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34"/>
      <c r="C20" s="234"/>
      <c r="D20" s="235"/>
      <c r="E20" s="335"/>
      <c r="F20" s="336"/>
      <c r="G20" s="336"/>
      <c r="H20" s="336"/>
      <c r="I20" s="334"/>
      <c r="J20" s="54" t="str">
        <f ca="1">IF(AND('Mapa final'!$AA$33="Alta",'Mapa final'!$AC$33="Leve"),CONCATENATE("R5C",'Mapa final'!$Q$33),"")</f>
        <v/>
      </c>
      <c r="K20" s="55" t="str">
        <f ca="1">IF(AND('Mapa final'!$AA$34="Alta",'Mapa final'!$AC$34="Leve"),CONCATENATE("R5C",'Mapa final'!$Q$34),"")</f>
        <v/>
      </c>
      <c r="L20" s="55" t="str">
        <f>IF(AND('Mapa final'!$AA$35="Alta",'Mapa final'!$AC$35="Leve"),CONCATENATE("R5C",'Mapa final'!$Q$35),"")</f>
        <v/>
      </c>
      <c r="M20" s="55" t="str">
        <f>IF(AND('Mapa final'!$AA$36="Alta",'Mapa final'!$AC$36="Leve"),CONCATENATE("R5C",'Mapa final'!$Q$36),"")</f>
        <v/>
      </c>
      <c r="N20" s="55" t="str">
        <f>IF(AND('Mapa final'!$AA$37="Alta",'Mapa final'!$AC$37="Leve"),CONCATENATE("R5C",'Mapa final'!$Q$37),"")</f>
        <v/>
      </c>
      <c r="O20" s="56" t="str">
        <f>IF(AND('Mapa final'!$AA$38="Alta",'Mapa final'!$AC$38="Leve"),CONCATENATE("R5C",'Mapa final'!$Q$38),"")</f>
        <v/>
      </c>
      <c r="P20" s="54" t="str">
        <f ca="1">IF(AND('Mapa final'!$AA$33="Alta",'Mapa final'!$AC$33="Menor"),CONCATENATE("R5C",'Mapa final'!$Q$33),"")</f>
        <v/>
      </c>
      <c r="Q20" s="55" t="str">
        <f ca="1">IF(AND('Mapa final'!$AA$34="Alta",'Mapa final'!$AC$34="Menor"),CONCATENATE("R5C",'Mapa final'!$Q$34),"")</f>
        <v/>
      </c>
      <c r="R20" s="55" t="str">
        <f>IF(AND('Mapa final'!$AA$35="Alta",'Mapa final'!$AC$35="Menor"),CONCATENATE("R5C",'Mapa final'!$Q$35),"")</f>
        <v/>
      </c>
      <c r="S20" s="55" t="str">
        <f>IF(AND('Mapa final'!$AA$36="Alta",'Mapa final'!$AC$36="Menor"),CONCATENATE("R5C",'Mapa final'!$Q$36),"")</f>
        <v/>
      </c>
      <c r="T20" s="55" t="str">
        <f>IF(AND('Mapa final'!$AA$37="Alta",'Mapa final'!$AC$37="Menor"),CONCATENATE("R5C",'Mapa final'!$Q$37),"")</f>
        <v/>
      </c>
      <c r="U20" s="56" t="str">
        <f>IF(AND('Mapa final'!$AA$38="Alta",'Mapa final'!$AC$38="Menor"),CONCATENATE("R5C",'Mapa final'!$Q$38),"")</f>
        <v/>
      </c>
      <c r="V20" s="38" t="str">
        <f ca="1">IF(AND('Mapa final'!$AA$33="Alta",'Mapa final'!$AC$33="Moderado"),CONCATENATE("R5C",'Mapa final'!$Q$33),"")</f>
        <v/>
      </c>
      <c r="W20" s="39" t="str">
        <f ca="1">IF(AND('Mapa final'!$AA$34="Alta",'Mapa final'!$AC$34="Moderado"),CONCATENATE("R5C",'Mapa final'!$Q$34),"")</f>
        <v/>
      </c>
      <c r="X20" s="44" t="str">
        <f>IF(AND('Mapa final'!$AA$35="Alta",'Mapa final'!$AC$35="Moderado"),CONCATENATE("R5C",'Mapa final'!$Q$35),"")</f>
        <v/>
      </c>
      <c r="Y20" s="44" t="str">
        <f>IF(AND('Mapa final'!$AA$36="Alta",'Mapa final'!$AC$36="Moderado"),CONCATENATE("R5C",'Mapa final'!$Q$36),"")</f>
        <v/>
      </c>
      <c r="Z20" s="44" t="str">
        <f>IF(AND('Mapa final'!$AA$37="Alta",'Mapa final'!$AC$37="Moderado"),CONCATENATE("R5C",'Mapa final'!$Q$37),"")</f>
        <v/>
      </c>
      <c r="AA20" s="40" t="str">
        <f>IF(AND('Mapa final'!$AA$38="Alta",'Mapa final'!$AC$38="Moderado"),CONCATENATE("R5C",'Mapa final'!$Q$38),"")</f>
        <v/>
      </c>
      <c r="AB20" s="38" t="str">
        <f ca="1">IF(AND('Mapa final'!$AA$33="Alta",'Mapa final'!$AC$33="Mayor"),CONCATENATE("R5C",'Mapa final'!$Q$33),"")</f>
        <v/>
      </c>
      <c r="AC20" s="39" t="str">
        <f ca="1">IF(AND('Mapa final'!$AA$34="Alta",'Mapa final'!$AC$34="Mayor"),CONCATENATE("R5C",'Mapa final'!$Q$34),"")</f>
        <v/>
      </c>
      <c r="AD20" s="44" t="str">
        <f>IF(AND('Mapa final'!$AA$35="Alta",'Mapa final'!$AC$35="Mayor"),CONCATENATE("R5C",'Mapa final'!$Q$35),"")</f>
        <v/>
      </c>
      <c r="AE20" s="44" t="str">
        <f>IF(AND('Mapa final'!$AA$36="Alta",'Mapa final'!$AC$36="Mayor"),CONCATENATE("R5C",'Mapa final'!$Q$36),"")</f>
        <v/>
      </c>
      <c r="AF20" s="44" t="str">
        <f>IF(AND('Mapa final'!$AA$37="Alta",'Mapa final'!$AC$37="Mayor"),CONCATENATE("R5C",'Mapa final'!$Q$37),"")</f>
        <v/>
      </c>
      <c r="AG20" s="40" t="str">
        <f>IF(AND('Mapa final'!$AA$38="Alta",'Mapa final'!$AC$38="Mayor"),CONCATENATE("R5C",'Mapa final'!$Q$38),"")</f>
        <v/>
      </c>
      <c r="AH20" s="41" t="str">
        <f ca="1">IF(AND('Mapa final'!$AA$33="Alta",'Mapa final'!$AC$33="Catastrófico"),CONCATENATE("R5C",'Mapa final'!$Q$33),"")</f>
        <v/>
      </c>
      <c r="AI20" s="42" t="str">
        <f ca="1">IF(AND('Mapa final'!$AA$34="Alta",'Mapa final'!$AC$34="Catastrófico"),CONCATENATE("R5C",'Mapa final'!$Q$34),"")</f>
        <v/>
      </c>
      <c r="AJ20" s="42" t="str">
        <f>IF(AND('Mapa final'!$AA$35="Alta",'Mapa final'!$AC$35="Catastrófico"),CONCATENATE("R5C",'Mapa final'!$Q$35),"")</f>
        <v/>
      </c>
      <c r="AK20" s="42" t="str">
        <f>IF(AND('Mapa final'!$AA$36="Alta",'Mapa final'!$AC$36="Catastrófico"),CONCATENATE("R5C",'Mapa final'!$Q$36),"")</f>
        <v/>
      </c>
      <c r="AL20" s="42" t="str">
        <f>IF(AND('Mapa final'!$AA$37="Alta",'Mapa final'!$AC$37="Catastrófico"),CONCATENATE("R5C",'Mapa final'!$Q$37),"")</f>
        <v/>
      </c>
      <c r="AM20" s="43" t="str">
        <f>IF(AND('Mapa final'!$AA$38="Alta",'Mapa final'!$AC$38="Catastrófico"),CONCATENATE("R5C",'Mapa final'!$Q$38),"")</f>
        <v/>
      </c>
      <c r="AN20" s="70"/>
      <c r="AO20" s="325"/>
      <c r="AP20" s="326"/>
      <c r="AQ20" s="326"/>
      <c r="AR20" s="326"/>
      <c r="AS20" s="326"/>
      <c r="AT20" s="327"/>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34"/>
      <c r="C21" s="234"/>
      <c r="D21" s="235"/>
      <c r="E21" s="335"/>
      <c r="F21" s="336"/>
      <c r="G21" s="336"/>
      <c r="H21" s="336"/>
      <c r="I21" s="334"/>
      <c r="J21" s="54" t="str">
        <f>IF(AND('Mapa final'!$AA$39="Alta",'Mapa final'!$AC$39="Leve"),CONCATENATE("R6C",'Mapa final'!$Q$39),"")</f>
        <v/>
      </c>
      <c r="K21" s="55" t="str">
        <f>IF(AND('Mapa final'!$AA$40="Alta",'Mapa final'!$AC$40="Leve"),CONCATENATE("R6C",'Mapa final'!$Q$40),"")</f>
        <v/>
      </c>
      <c r="L21" s="55" t="str">
        <f>IF(AND('Mapa final'!$AA$41="Alta",'Mapa final'!$AC$41="Leve"),CONCATENATE("R6C",'Mapa final'!$Q$41),"")</f>
        <v/>
      </c>
      <c r="M21" s="55" t="str">
        <f>IF(AND('Mapa final'!$AA$42="Alta",'Mapa final'!$AC$42="Leve"),CONCATENATE("R6C",'Mapa final'!$Q$42),"")</f>
        <v/>
      </c>
      <c r="N21" s="55" t="str">
        <f>IF(AND('Mapa final'!$AA$43="Alta",'Mapa final'!$AC$43="Leve"),CONCATENATE("R6C",'Mapa final'!$Q$43),"")</f>
        <v/>
      </c>
      <c r="O21" s="56" t="str">
        <f>IF(AND('Mapa final'!$AA$44="Alta",'Mapa final'!$AC$44="Leve"),CONCATENATE("R6C",'Mapa final'!$Q$44),"")</f>
        <v/>
      </c>
      <c r="P21" s="54" t="str">
        <f>IF(AND('Mapa final'!$AA$39="Alta",'Mapa final'!$AC$39="Menor"),CONCATENATE("R6C",'Mapa final'!$Q$39),"")</f>
        <v/>
      </c>
      <c r="Q21" s="55" t="str">
        <f>IF(AND('Mapa final'!$AA$40="Alta",'Mapa final'!$AC$40="Menor"),CONCATENATE("R6C",'Mapa final'!$Q$40),"")</f>
        <v/>
      </c>
      <c r="R21" s="55" t="str">
        <f>IF(AND('Mapa final'!$AA$41="Alta",'Mapa final'!$AC$41="Menor"),CONCATENATE("R6C",'Mapa final'!$Q$41),"")</f>
        <v/>
      </c>
      <c r="S21" s="55" t="str">
        <f>IF(AND('Mapa final'!$AA$42="Alta",'Mapa final'!$AC$42="Menor"),CONCATENATE("R6C",'Mapa final'!$Q$42),"")</f>
        <v/>
      </c>
      <c r="T21" s="55" t="str">
        <f>IF(AND('Mapa final'!$AA$43="Alta",'Mapa final'!$AC$43="Menor"),CONCATENATE("R6C",'Mapa final'!$Q$43),"")</f>
        <v/>
      </c>
      <c r="U21" s="56" t="str">
        <f>IF(AND('Mapa final'!$AA$44="Alta",'Mapa final'!$AC$44="Menor"),CONCATENATE("R6C",'Mapa final'!$Q$44),"")</f>
        <v/>
      </c>
      <c r="V21" s="38" t="str">
        <f>IF(AND('Mapa final'!$AA$39="Alta",'Mapa final'!$AC$39="Moderado"),CONCATENATE("R6C",'Mapa final'!$Q$39),"")</f>
        <v/>
      </c>
      <c r="W21" s="39" t="str">
        <f>IF(AND('Mapa final'!$AA$40="Alta",'Mapa final'!$AC$40="Moderado"),CONCATENATE("R6C",'Mapa final'!$Q$40),"")</f>
        <v/>
      </c>
      <c r="X21" s="44" t="str">
        <f>IF(AND('Mapa final'!$AA$41="Alta",'Mapa final'!$AC$41="Moderado"),CONCATENATE("R6C",'Mapa final'!$Q$41),"")</f>
        <v/>
      </c>
      <c r="Y21" s="44" t="str">
        <f>IF(AND('Mapa final'!$AA$42="Alta",'Mapa final'!$AC$42="Moderado"),CONCATENATE("R6C",'Mapa final'!$Q$42),"")</f>
        <v/>
      </c>
      <c r="Z21" s="44" t="str">
        <f>IF(AND('Mapa final'!$AA$43="Alta",'Mapa final'!$AC$43="Moderado"),CONCATENATE("R6C",'Mapa final'!$Q$43),"")</f>
        <v/>
      </c>
      <c r="AA21" s="40" t="str">
        <f>IF(AND('Mapa final'!$AA$44="Alta",'Mapa final'!$AC$44="Moderado"),CONCATENATE("R6C",'Mapa final'!$Q$44),"")</f>
        <v/>
      </c>
      <c r="AB21" s="38" t="str">
        <f>IF(AND('Mapa final'!$AA$39="Alta",'Mapa final'!$AC$39="Mayor"),CONCATENATE("R6C",'Mapa final'!$Q$39),"")</f>
        <v/>
      </c>
      <c r="AC21" s="39" t="str">
        <f>IF(AND('Mapa final'!$AA$40="Alta",'Mapa final'!$AC$40="Mayor"),CONCATENATE("R6C",'Mapa final'!$Q$40),"")</f>
        <v/>
      </c>
      <c r="AD21" s="44" t="str">
        <f>IF(AND('Mapa final'!$AA$41="Alta",'Mapa final'!$AC$41="Mayor"),CONCATENATE("R6C",'Mapa final'!$Q$41),"")</f>
        <v/>
      </c>
      <c r="AE21" s="44" t="str">
        <f>IF(AND('Mapa final'!$AA$42="Alta",'Mapa final'!$AC$42="Mayor"),CONCATENATE("R6C",'Mapa final'!$Q$42),"")</f>
        <v/>
      </c>
      <c r="AF21" s="44" t="str">
        <f>IF(AND('Mapa final'!$AA$43="Alta",'Mapa final'!$AC$43="Mayor"),CONCATENATE("R6C",'Mapa final'!$Q$43),"")</f>
        <v/>
      </c>
      <c r="AG21" s="40" t="str">
        <f>IF(AND('Mapa final'!$AA$44="Alta",'Mapa final'!$AC$44="Mayor"),CONCATENATE("R6C",'Mapa final'!$Q$44),"")</f>
        <v/>
      </c>
      <c r="AH21" s="41" t="str">
        <f>IF(AND('Mapa final'!$AA$39="Alta",'Mapa final'!$AC$39="Catastrófico"),CONCATENATE("R6C",'Mapa final'!$Q$39),"")</f>
        <v/>
      </c>
      <c r="AI21" s="42" t="str">
        <f>IF(AND('Mapa final'!$AA$40="Alta",'Mapa final'!$AC$40="Catastrófico"),CONCATENATE("R6C",'Mapa final'!$Q$40),"")</f>
        <v/>
      </c>
      <c r="AJ21" s="42" t="str">
        <f>IF(AND('Mapa final'!$AA$41="Alta",'Mapa final'!$AC$41="Catastrófico"),CONCATENATE("R6C",'Mapa final'!$Q$41),"")</f>
        <v/>
      </c>
      <c r="AK21" s="42" t="str">
        <f>IF(AND('Mapa final'!$AA$42="Alta",'Mapa final'!$AC$42="Catastrófico"),CONCATENATE("R6C",'Mapa final'!$Q$42),"")</f>
        <v/>
      </c>
      <c r="AL21" s="42" t="str">
        <f>IF(AND('Mapa final'!$AA$43="Alta",'Mapa final'!$AC$43="Catastrófico"),CONCATENATE("R6C",'Mapa final'!$Q$43),"")</f>
        <v/>
      </c>
      <c r="AM21" s="43" t="str">
        <f>IF(AND('Mapa final'!$AA$44="Alta",'Mapa final'!$AC$44="Catastrófico"),CONCATENATE("R6C",'Mapa final'!$Q$44),"")</f>
        <v/>
      </c>
      <c r="AN21" s="70"/>
      <c r="AO21" s="325"/>
      <c r="AP21" s="326"/>
      <c r="AQ21" s="326"/>
      <c r="AR21" s="326"/>
      <c r="AS21" s="326"/>
      <c r="AT21" s="327"/>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34"/>
      <c r="C22" s="234"/>
      <c r="D22" s="235"/>
      <c r="E22" s="335"/>
      <c r="F22" s="336"/>
      <c r="G22" s="336"/>
      <c r="H22" s="336"/>
      <c r="I22" s="334"/>
      <c r="J22" s="54" t="str">
        <f>IF(AND('Mapa final'!$AA$45="Alta",'Mapa final'!$AC$45="Leve"),CONCATENATE("R7C",'Mapa final'!$Q$45),"")</f>
        <v/>
      </c>
      <c r="K22" s="55" t="str">
        <f>IF(AND('Mapa final'!$AA$46="Alta",'Mapa final'!$AC$46="Leve"),CONCATENATE("R7C",'Mapa final'!$Q$46),"")</f>
        <v/>
      </c>
      <c r="L22" s="55" t="str">
        <f>IF(AND('Mapa final'!$AA$47="Alta",'Mapa final'!$AC$47="Leve"),CONCATENATE("R7C",'Mapa final'!$Q$47),"")</f>
        <v/>
      </c>
      <c r="M22" s="55" t="str">
        <f>IF(AND('Mapa final'!$AA$48="Alta",'Mapa final'!$AC$48="Leve"),CONCATENATE("R7C",'Mapa final'!$Q$48),"")</f>
        <v/>
      </c>
      <c r="N22" s="55" t="str">
        <f>IF(AND('Mapa final'!$AA$49="Alta",'Mapa final'!$AC$49="Leve"),CONCATENATE("R7C",'Mapa final'!$Q$49),"")</f>
        <v/>
      </c>
      <c r="O22" s="56" t="str">
        <f>IF(AND('Mapa final'!$AA$50="Alta",'Mapa final'!$AC$50="Leve"),CONCATENATE("R7C",'Mapa final'!$Q$50),"")</f>
        <v/>
      </c>
      <c r="P22" s="54" t="str">
        <f>IF(AND('Mapa final'!$AA$45="Alta",'Mapa final'!$AC$45="Menor"),CONCATENATE("R7C",'Mapa final'!$Q$45),"")</f>
        <v/>
      </c>
      <c r="Q22" s="55" t="str">
        <f>IF(AND('Mapa final'!$AA$46="Alta",'Mapa final'!$AC$46="Menor"),CONCATENATE("R7C",'Mapa final'!$Q$46),"")</f>
        <v/>
      </c>
      <c r="R22" s="55" t="str">
        <f>IF(AND('Mapa final'!$AA$47="Alta",'Mapa final'!$AC$47="Menor"),CONCATENATE("R7C",'Mapa final'!$Q$47),"")</f>
        <v/>
      </c>
      <c r="S22" s="55" t="str">
        <f>IF(AND('Mapa final'!$AA$48="Alta",'Mapa final'!$AC$48="Menor"),CONCATENATE("R7C",'Mapa final'!$Q$48),"")</f>
        <v/>
      </c>
      <c r="T22" s="55" t="str">
        <f>IF(AND('Mapa final'!$AA$49="Alta",'Mapa final'!$AC$49="Menor"),CONCATENATE("R7C",'Mapa final'!$Q$49),"")</f>
        <v/>
      </c>
      <c r="U22" s="56" t="str">
        <f>IF(AND('Mapa final'!$AA$50="Alta",'Mapa final'!$AC$50="Menor"),CONCATENATE("R7C",'Mapa final'!$Q$50),"")</f>
        <v/>
      </c>
      <c r="V22" s="38" t="str">
        <f>IF(AND('Mapa final'!$AA$45="Alta",'Mapa final'!$AC$45="Moderado"),CONCATENATE("R7C",'Mapa final'!$Q$45),"")</f>
        <v/>
      </c>
      <c r="W22" s="39" t="str">
        <f>IF(AND('Mapa final'!$AA$46="Alta",'Mapa final'!$AC$46="Moderado"),CONCATENATE("R7C",'Mapa final'!$Q$46),"")</f>
        <v/>
      </c>
      <c r="X22" s="44" t="str">
        <f>IF(AND('Mapa final'!$AA$47="Alta",'Mapa final'!$AC$47="Moderado"),CONCATENATE("R7C",'Mapa final'!$Q$47),"")</f>
        <v/>
      </c>
      <c r="Y22" s="44" t="str">
        <f>IF(AND('Mapa final'!$AA$48="Alta",'Mapa final'!$AC$48="Moderado"),CONCATENATE("R7C",'Mapa final'!$Q$48),"")</f>
        <v/>
      </c>
      <c r="Z22" s="44" t="str">
        <f>IF(AND('Mapa final'!$AA$49="Alta",'Mapa final'!$AC$49="Moderado"),CONCATENATE("R7C",'Mapa final'!$Q$49),"")</f>
        <v/>
      </c>
      <c r="AA22" s="40" t="str">
        <f>IF(AND('Mapa final'!$AA$50="Alta",'Mapa final'!$AC$50="Moderado"),CONCATENATE("R7C",'Mapa final'!$Q$50),"")</f>
        <v/>
      </c>
      <c r="AB22" s="38" t="str">
        <f>IF(AND('Mapa final'!$AA$45="Alta",'Mapa final'!$AC$45="Mayor"),CONCATENATE("R7C",'Mapa final'!$Q$45),"")</f>
        <v/>
      </c>
      <c r="AC22" s="39" t="str">
        <f>IF(AND('Mapa final'!$AA$46="Alta",'Mapa final'!$AC$46="Mayor"),CONCATENATE("R7C",'Mapa final'!$Q$46),"")</f>
        <v/>
      </c>
      <c r="AD22" s="44" t="str">
        <f>IF(AND('Mapa final'!$AA$47="Alta",'Mapa final'!$AC$47="Mayor"),CONCATENATE("R7C",'Mapa final'!$Q$47),"")</f>
        <v/>
      </c>
      <c r="AE22" s="44" t="str">
        <f>IF(AND('Mapa final'!$AA$48="Alta",'Mapa final'!$AC$48="Mayor"),CONCATENATE("R7C",'Mapa final'!$Q$48),"")</f>
        <v/>
      </c>
      <c r="AF22" s="44" t="str">
        <f>IF(AND('Mapa final'!$AA$49="Alta",'Mapa final'!$AC$49="Mayor"),CONCATENATE("R7C",'Mapa final'!$Q$49),"")</f>
        <v/>
      </c>
      <c r="AG22" s="40" t="str">
        <f>IF(AND('Mapa final'!$AA$50="Alta",'Mapa final'!$AC$50="Mayor"),CONCATENATE("R7C",'Mapa final'!$Q$50),"")</f>
        <v/>
      </c>
      <c r="AH22" s="41" t="str">
        <f>IF(AND('Mapa final'!$AA$45="Alta",'Mapa final'!$AC$45="Catastrófico"),CONCATENATE("R7C",'Mapa final'!$Q$45),"")</f>
        <v/>
      </c>
      <c r="AI22" s="42" t="str">
        <f>IF(AND('Mapa final'!$AA$46="Alta",'Mapa final'!$AC$46="Catastrófico"),CONCATENATE("R7C",'Mapa final'!$Q$46),"")</f>
        <v/>
      </c>
      <c r="AJ22" s="42" t="str">
        <f>IF(AND('Mapa final'!$AA$47="Alta",'Mapa final'!$AC$47="Catastrófico"),CONCATENATE("R7C",'Mapa final'!$Q$47),"")</f>
        <v/>
      </c>
      <c r="AK22" s="42" t="str">
        <f>IF(AND('Mapa final'!$AA$48="Alta",'Mapa final'!$AC$48="Catastrófico"),CONCATENATE("R7C",'Mapa final'!$Q$48),"")</f>
        <v/>
      </c>
      <c r="AL22" s="42" t="str">
        <f>IF(AND('Mapa final'!$AA$49="Alta",'Mapa final'!$AC$49="Catastrófico"),CONCATENATE("R7C",'Mapa final'!$Q$49),"")</f>
        <v/>
      </c>
      <c r="AM22" s="43" t="str">
        <f>IF(AND('Mapa final'!$AA$50="Alta",'Mapa final'!$AC$50="Catastrófico"),CONCATENATE("R7C",'Mapa final'!$Q$50),"")</f>
        <v/>
      </c>
      <c r="AN22" s="70"/>
      <c r="AO22" s="325"/>
      <c r="AP22" s="326"/>
      <c r="AQ22" s="326"/>
      <c r="AR22" s="326"/>
      <c r="AS22" s="326"/>
      <c r="AT22" s="327"/>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34"/>
      <c r="C23" s="234"/>
      <c r="D23" s="235"/>
      <c r="E23" s="335"/>
      <c r="F23" s="336"/>
      <c r="G23" s="336"/>
      <c r="H23" s="336"/>
      <c r="I23" s="334"/>
      <c r="J23" s="54" t="str">
        <f>IF(AND('Mapa final'!$AA$51="Alta",'Mapa final'!$AC$51="Leve"),CONCATENATE("R8C",'Mapa final'!$Q$51),"")</f>
        <v/>
      </c>
      <c r="K23" s="55" t="str">
        <f>IF(AND('Mapa final'!$AA$52="Alta",'Mapa final'!$AC$52="Leve"),CONCATENATE("R8C",'Mapa final'!$Q$52),"")</f>
        <v/>
      </c>
      <c r="L23" s="55" t="str">
        <f>IF(AND('Mapa final'!$AA$53="Alta",'Mapa final'!$AC$53="Leve"),CONCATENATE("R8C",'Mapa final'!$Q$53),"")</f>
        <v/>
      </c>
      <c r="M23" s="55" t="str">
        <f>IF(AND('Mapa final'!$AA$54="Alta",'Mapa final'!$AC$54="Leve"),CONCATENATE("R8C",'Mapa final'!$Q$54),"")</f>
        <v/>
      </c>
      <c r="N23" s="55" t="str">
        <f>IF(AND('Mapa final'!$AA$55="Alta",'Mapa final'!$AC$55="Leve"),CONCATENATE("R8C",'Mapa final'!$Q$55),"")</f>
        <v/>
      </c>
      <c r="O23" s="56" t="str">
        <f>IF(AND('Mapa final'!$AA$56="Alta",'Mapa final'!$AC$56="Leve"),CONCATENATE("R8C",'Mapa final'!$Q$56),"")</f>
        <v/>
      </c>
      <c r="P23" s="54" t="str">
        <f>IF(AND('Mapa final'!$AA$51="Alta",'Mapa final'!$AC$51="Menor"),CONCATENATE("R8C",'Mapa final'!$Q$51),"")</f>
        <v/>
      </c>
      <c r="Q23" s="55" t="str">
        <f>IF(AND('Mapa final'!$AA$52="Alta",'Mapa final'!$AC$52="Menor"),CONCATENATE("R8C",'Mapa final'!$Q$52),"")</f>
        <v/>
      </c>
      <c r="R23" s="55" t="str">
        <f>IF(AND('Mapa final'!$AA$53="Alta",'Mapa final'!$AC$53="Menor"),CONCATENATE("R8C",'Mapa final'!$Q$53),"")</f>
        <v/>
      </c>
      <c r="S23" s="55" t="str">
        <f>IF(AND('Mapa final'!$AA$54="Alta",'Mapa final'!$AC$54="Menor"),CONCATENATE("R8C",'Mapa final'!$Q$54),"")</f>
        <v/>
      </c>
      <c r="T23" s="55" t="str">
        <f>IF(AND('Mapa final'!$AA$55="Alta",'Mapa final'!$AC$55="Menor"),CONCATENATE("R8C",'Mapa final'!$Q$55),"")</f>
        <v/>
      </c>
      <c r="U23" s="56" t="str">
        <f>IF(AND('Mapa final'!$AA$56="Alta",'Mapa final'!$AC$56="Menor"),CONCATENATE("R8C",'Mapa final'!$Q$56),"")</f>
        <v/>
      </c>
      <c r="V23" s="38" t="str">
        <f>IF(AND('Mapa final'!$AA$51="Alta",'Mapa final'!$AC$51="Moderado"),CONCATENATE("R8C",'Mapa final'!$Q$51),"")</f>
        <v/>
      </c>
      <c r="W23" s="39" t="str">
        <f>IF(AND('Mapa final'!$AA$52="Alta",'Mapa final'!$AC$52="Moderado"),CONCATENATE("R8C",'Mapa final'!$Q$52),"")</f>
        <v/>
      </c>
      <c r="X23" s="44" t="str">
        <f>IF(AND('Mapa final'!$AA$53="Alta",'Mapa final'!$AC$53="Moderado"),CONCATENATE("R8C",'Mapa final'!$Q$53),"")</f>
        <v/>
      </c>
      <c r="Y23" s="44" t="str">
        <f>IF(AND('Mapa final'!$AA$54="Alta",'Mapa final'!$AC$54="Moderado"),CONCATENATE("R8C",'Mapa final'!$Q$54),"")</f>
        <v/>
      </c>
      <c r="Z23" s="44" t="str">
        <f>IF(AND('Mapa final'!$AA$55="Alta",'Mapa final'!$AC$55="Moderado"),CONCATENATE("R8C",'Mapa final'!$Q$55),"")</f>
        <v/>
      </c>
      <c r="AA23" s="40" t="str">
        <f>IF(AND('Mapa final'!$AA$56="Alta",'Mapa final'!$AC$56="Moderado"),CONCATENATE("R8C",'Mapa final'!$Q$56),"")</f>
        <v/>
      </c>
      <c r="AB23" s="38" t="str">
        <f>IF(AND('Mapa final'!$AA$51="Alta",'Mapa final'!$AC$51="Mayor"),CONCATENATE("R8C",'Mapa final'!$Q$51),"")</f>
        <v/>
      </c>
      <c r="AC23" s="39" t="str">
        <f>IF(AND('Mapa final'!$AA$52="Alta",'Mapa final'!$AC$52="Mayor"),CONCATENATE("R8C",'Mapa final'!$Q$52),"")</f>
        <v/>
      </c>
      <c r="AD23" s="44" t="str">
        <f>IF(AND('Mapa final'!$AA$53="Alta",'Mapa final'!$AC$53="Mayor"),CONCATENATE("R8C",'Mapa final'!$Q$53),"")</f>
        <v/>
      </c>
      <c r="AE23" s="44" t="str">
        <f>IF(AND('Mapa final'!$AA$54="Alta",'Mapa final'!$AC$54="Mayor"),CONCATENATE("R8C",'Mapa final'!$Q$54),"")</f>
        <v/>
      </c>
      <c r="AF23" s="44" t="str">
        <f>IF(AND('Mapa final'!$AA$55="Alta",'Mapa final'!$AC$55="Mayor"),CONCATENATE("R8C",'Mapa final'!$Q$55),"")</f>
        <v/>
      </c>
      <c r="AG23" s="40" t="str">
        <f>IF(AND('Mapa final'!$AA$56="Alta",'Mapa final'!$AC$56="Mayor"),CONCATENATE("R8C",'Mapa final'!$Q$56),"")</f>
        <v/>
      </c>
      <c r="AH23" s="41" t="str">
        <f>IF(AND('Mapa final'!$AA$51="Alta",'Mapa final'!$AC$51="Catastrófico"),CONCATENATE("R8C",'Mapa final'!$Q$51),"")</f>
        <v/>
      </c>
      <c r="AI23" s="42" t="str">
        <f>IF(AND('Mapa final'!$AA$52="Alta",'Mapa final'!$AC$52="Catastrófico"),CONCATENATE("R8C",'Mapa final'!$Q$52),"")</f>
        <v/>
      </c>
      <c r="AJ23" s="42" t="str">
        <f>IF(AND('Mapa final'!$AA$53="Alta",'Mapa final'!$AC$53="Catastrófico"),CONCATENATE("R8C",'Mapa final'!$Q$53),"")</f>
        <v/>
      </c>
      <c r="AK23" s="42" t="str">
        <f>IF(AND('Mapa final'!$AA$54="Alta",'Mapa final'!$AC$54="Catastrófico"),CONCATENATE("R8C",'Mapa final'!$Q$54),"")</f>
        <v/>
      </c>
      <c r="AL23" s="42" t="str">
        <f>IF(AND('Mapa final'!$AA$55="Alta",'Mapa final'!$AC$55="Catastrófico"),CONCATENATE("R8C",'Mapa final'!$Q$55),"")</f>
        <v/>
      </c>
      <c r="AM23" s="43" t="str">
        <f>IF(AND('Mapa final'!$AA$56="Alta",'Mapa final'!$AC$56="Catastrófico"),CONCATENATE("R8C",'Mapa final'!$Q$56),"")</f>
        <v/>
      </c>
      <c r="AN23" s="70"/>
      <c r="AO23" s="325"/>
      <c r="AP23" s="326"/>
      <c r="AQ23" s="326"/>
      <c r="AR23" s="326"/>
      <c r="AS23" s="326"/>
      <c r="AT23" s="327"/>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34"/>
      <c r="C24" s="234"/>
      <c r="D24" s="235"/>
      <c r="E24" s="335"/>
      <c r="F24" s="336"/>
      <c r="G24" s="336"/>
      <c r="H24" s="336"/>
      <c r="I24" s="334"/>
      <c r="J24" s="54" t="str">
        <f>IF(AND('Mapa final'!$AA$57="Alta",'Mapa final'!$AC$57="Leve"),CONCATENATE("R9C",'Mapa final'!$Q$57),"")</f>
        <v/>
      </c>
      <c r="K24" s="55" t="str">
        <f>IF(AND('Mapa final'!$AA$58="Alta",'Mapa final'!$AC$58="Leve"),CONCATENATE("R9C",'Mapa final'!$Q$58),"")</f>
        <v/>
      </c>
      <c r="L24" s="55" t="str">
        <f>IF(AND('Mapa final'!$AA$59="Alta",'Mapa final'!$AC$59="Leve"),CONCATENATE("R9C",'Mapa final'!$Q$59),"")</f>
        <v/>
      </c>
      <c r="M24" s="55" t="str">
        <f>IF(AND('Mapa final'!$AA$60="Alta",'Mapa final'!$AC$60="Leve"),CONCATENATE("R9C",'Mapa final'!$Q$60),"")</f>
        <v/>
      </c>
      <c r="N24" s="55" t="str">
        <f>IF(AND('Mapa final'!$AA$61="Alta",'Mapa final'!$AC$61="Leve"),CONCATENATE("R9C",'Mapa final'!$Q$61),"")</f>
        <v/>
      </c>
      <c r="O24" s="56" t="str">
        <f>IF(AND('Mapa final'!$AA$62="Alta",'Mapa final'!$AC$62="Leve"),CONCATENATE("R9C",'Mapa final'!$Q$62),"")</f>
        <v/>
      </c>
      <c r="P24" s="54" t="str">
        <f>IF(AND('Mapa final'!$AA$57="Alta",'Mapa final'!$AC$57="Menor"),CONCATENATE("R9C",'Mapa final'!$Q$57),"")</f>
        <v/>
      </c>
      <c r="Q24" s="55" t="str">
        <f>IF(AND('Mapa final'!$AA$58="Alta",'Mapa final'!$AC$58="Menor"),CONCATENATE("R9C",'Mapa final'!$Q$58),"")</f>
        <v/>
      </c>
      <c r="R24" s="55" t="str">
        <f>IF(AND('Mapa final'!$AA$59="Alta",'Mapa final'!$AC$59="Menor"),CONCATENATE("R9C",'Mapa final'!$Q$59),"")</f>
        <v/>
      </c>
      <c r="S24" s="55" t="str">
        <f>IF(AND('Mapa final'!$AA$60="Alta",'Mapa final'!$AC$60="Menor"),CONCATENATE("R9C",'Mapa final'!$Q$60),"")</f>
        <v/>
      </c>
      <c r="T24" s="55" t="str">
        <f>IF(AND('Mapa final'!$AA$61="Alta",'Mapa final'!$AC$61="Menor"),CONCATENATE("R9C",'Mapa final'!$Q$61),"")</f>
        <v/>
      </c>
      <c r="U24" s="56" t="str">
        <f>IF(AND('Mapa final'!$AA$62="Alta",'Mapa final'!$AC$62="Menor"),CONCATENATE("R9C",'Mapa final'!$Q$62),"")</f>
        <v/>
      </c>
      <c r="V24" s="38" t="str">
        <f>IF(AND('Mapa final'!$AA$57="Alta",'Mapa final'!$AC$57="Moderado"),CONCATENATE("R9C",'Mapa final'!$Q$57),"")</f>
        <v/>
      </c>
      <c r="W24" s="39" t="str">
        <f>IF(AND('Mapa final'!$AA$58="Alta",'Mapa final'!$AC$58="Moderado"),CONCATENATE("R9C",'Mapa final'!$Q$58),"")</f>
        <v/>
      </c>
      <c r="X24" s="44" t="str">
        <f>IF(AND('Mapa final'!$AA$59="Alta",'Mapa final'!$AC$59="Moderado"),CONCATENATE("R9C",'Mapa final'!$Q$59),"")</f>
        <v/>
      </c>
      <c r="Y24" s="44" t="str">
        <f>IF(AND('Mapa final'!$AA$60="Alta",'Mapa final'!$AC$60="Moderado"),CONCATENATE("R9C",'Mapa final'!$Q$60),"")</f>
        <v/>
      </c>
      <c r="Z24" s="44" t="str">
        <f>IF(AND('Mapa final'!$AA$61="Alta",'Mapa final'!$AC$61="Moderado"),CONCATENATE("R9C",'Mapa final'!$Q$61),"")</f>
        <v/>
      </c>
      <c r="AA24" s="40" t="str">
        <f>IF(AND('Mapa final'!$AA$62="Alta",'Mapa final'!$AC$62="Moderado"),CONCATENATE("R9C",'Mapa final'!$Q$62),"")</f>
        <v/>
      </c>
      <c r="AB24" s="38" t="str">
        <f>IF(AND('Mapa final'!$AA$57="Alta",'Mapa final'!$AC$57="Mayor"),CONCATENATE("R9C",'Mapa final'!$Q$57),"")</f>
        <v/>
      </c>
      <c r="AC24" s="39" t="str">
        <f>IF(AND('Mapa final'!$AA$58="Alta",'Mapa final'!$AC$58="Mayor"),CONCATENATE("R9C",'Mapa final'!$Q$58),"")</f>
        <v/>
      </c>
      <c r="AD24" s="44" t="str">
        <f>IF(AND('Mapa final'!$AA$59="Alta",'Mapa final'!$AC$59="Mayor"),CONCATENATE("R9C",'Mapa final'!$Q$59),"")</f>
        <v/>
      </c>
      <c r="AE24" s="44" t="str">
        <f>IF(AND('Mapa final'!$AA$60="Alta",'Mapa final'!$AC$60="Mayor"),CONCATENATE("R9C",'Mapa final'!$Q$60),"")</f>
        <v/>
      </c>
      <c r="AF24" s="44" t="str">
        <f>IF(AND('Mapa final'!$AA$61="Alta",'Mapa final'!$AC$61="Mayor"),CONCATENATE("R9C",'Mapa final'!$Q$61),"")</f>
        <v/>
      </c>
      <c r="AG24" s="40" t="str">
        <f>IF(AND('Mapa final'!$AA$62="Alta",'Mapa final'!$AC$62="Mayor"),CONCATENATE("R9C",'Mapa final'!$Q$62),"")</f>
        <v/>
      </c>
      <c r="AH24" s="41" t="str">
        <f>IF(AND('Mapa final'!$AA$57="Alta",'Mapa final'!$AC$57="Catastrófico"),CONCATENATE("R9C",'Mapa final'!$Q$57),"")</f>
        <v/>
      </c>
      <c r="AI24" s="42" t="str">
        <f>IF(AND('Mapa final'!$AA$58="Alta",'Mapa final'!$AC$58="Catastrófico"),CONCATENATE("R9C",'Mapa final'!$Q$58),"")</f>
        <v/>
      </c>
      <c r="AJ24" s="42" t="str">
        <f>IF(AND('Mapa final'!$AA$59="Alta",'Mapa final'!$AC$59="Catastrófico"),CONCATENATE("R9C",'Mapa final'!$Q$59),"")</f>
        <v/>
      </c>
      <c r="AK24" s="42" t="str">
        <f>IF(AND('Mapa final'!$AA$60="Alta",'Mapa final'!$AC$60="Catastrófico"),CONCATENATE("R9C",'Mapa final'!$Q$60),"")</f>
        <v/>
      </c>
      <c r="AL24" s="42" t="str">
        <f>IF(AND('Mapa final'!$AA$61="Alta",'Mapa final'!$AC$61="Catastrófico"),CONCATENATE("R9C",'Mapa final'!$Q$61),"")</f>
        <v/>
      </c>
      <c r="AM24" s="43" t="str">
        <f>IF(AND('Mapa final'!$AA$62="Alta",'Mapa final'!$AC$62="Catastrófico"),CONCATENATE("R9C",'Mapa final'!$Q$62),"")</f>
        <v/>
      </c>
      <c r="AN24" s="70"/>
      <c r="AO24" s="325"/>
      <c r="AP24" s="326"/>
      <c r="AQ24" s="326"/>
      <c r="AR24" s="326"/>
      <c r="AS24" s="326"/>
      <c r="AT24" s="327"/>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34"/>
      <c r="C25" s="234"/>
      <c r="D25" s="235"/>
      <c r="E25" s="337"/>
      <c r="F25" s="338"/>
      <c r="G25" s="338"/>
      <c r="H25" s="338"/>
      <c r="I25" s="338"/>
      <c r="J25" s="57" t="str">
        <f>IF(AND('Mapa final'!$AA$63="Alta",'Mapa final'!$AC$63="Leve"),CONCATENATE("R10C",'Mapa final'!$Q$63),"")</f>
        <v/>
      </c>
      <c r="K25" s="58" t="str">
        <f>IF(AND('Mapa final'!$AA$64="Alta",'Mapa final'!$AC$64="Leve"),CONCATENATE("R10C",'Mapa final'!$Q$64),"")</f>
        <v/>
      </c>
      <c r="L25" s="58" t="str">
        <f>IF(AND('Mapa final'!$AA$65="Alta",'Mapa final'!$AC$65="Leve"),CONCATENATE("R10C",'Mapa final'!$Q$65),"")</f>
        <v/>
      </c>
      <c r="M25" s="58" t="str">
        <f>IF(AND('Mapa final'!$AA$66="Alta",'Mapa final'!$AC$66="Leve"),CONCATENATE("R10C",'Mapa final'!$Q$66),"")</f>
        <v/>
      </c>
      <c r="N25" s="58" t="str">
        <f>IF(AND('Mapa final'!$AA$67="Alta",'Mapa final'!$AC$67="Leve"),CONCATENATE("R10C",'Mapa final'!$Q$67),"")</f>
        <v/>
      </c>
      <c r="O25" s="59" t="str">
        <f>IF(AND('Mapa final'!$AA$68="Alta",'Mapa final'!$AC$68="Leve"),CONCATENATE("R10C",'Mapa final'!$Q$68),"")</f>
        <v/>
      </c>
      <c r="P25" s="57" t="str">
        <f>IF(AND('Mapa final'!$AA$63="Alta",'Mapa final'!$AC$63="Menor"),CONCATENATE("R10C",'Mapa final'!$Q$63),"")</f>
        <v/>
      </c>
      <c r="Q25" s="58" t="str">
        <f>IF(AND('Mapa final'!$AA$64="Alta",'Mapa final'!$AC$64="Menor"),CONCATENATE("R10C",'Mapa final'!$Q$64),"")</f>
        <v/>
      </c>
      <c r="R25" s="58" t="str">
        <f>IF(AND('Mapa final'!$AA$65="Alta",'Mapa final'!$AC$65="Menor"),CONCATENATE("R10C",'Mapa final'!$Q$65),"")</f>
        <v/>
      </c>
      <c r="S25" s="58" t="str">
        <f>IF(AND('Mapa final'!$AA$66="Alta",'Mapa final'!$AC$66="Menor"),CONCATENATE("R10C",'Mapa final'!$Q$66),"")</f>
        <v/>
      </c>
      <c r="T25" s="58" t="str">
        <f>IF(AND('Mapa final'!$AA$67="Alta",'Mapa final'!$AC$67="Menor"),CONCATENATE("R10C",'Mapa final'!$Q$67),"")</f>
        <v/>
      </c>
      <c r="U25" s="59" t="str">
        <f>IF(AND('Mapa final'!$AA$68="Alta",'Mapa final'!$AC$68="Menor"),CONCATENATE("R10C",'Mapa final'!$Q$68),"")</f>
        <v/>
      </c>
      <c r="V25" s="45" t="str">
        <f>IF(AND('Mapa final'!$AA$63="Alta",'Mapa final'!$AC$63="Moderado"),CONCATENATE("R10C",'Mapa final'!$Q$63),"")</f>
        <v/>
      </c>
      <c r="W25" s="46" t="str">
        <f>IF(AND('Mapa final'!$AA$64="Alta",'Mapa final'!$AC$64="Moderado"),CONCATENATE("R10C",'Mapa final'!$Q$64),"")</f>
        <v/>
      </c>
      <c r="X25" s="46" t="str">
        <f>IF(AND('Mapa final'!$AA$65="Alta",'Mapa final'!$AC$65="Moderado"),CONCATENATE("R10C",'Mapa final'!$Q$65),"")</f>
        <v/>
      </c>
      <c r="Y25" s="46" t="str">
        <f>IF(AND('Mapa final'!$AA$66="Alta",'Mapa final'!$AC$66="Moderado"),CONCATENATE("R10C",'Mapa final'!$Q$66),"")</f>
        <v/>
      </c>
      <c r="Z25" s="46" t="str">
        <f>IF(AND('Mapa final'!$AA$67="Alta",'Mapa final'!$AC$67="Moderado"),CONCATENATE("R10C",'Mapa final'!$Q$67),"")</f>
        <v/>
      </c>
      <c r="AA25" s="47" t="str">
        <f>IF(AND('Mapa final'!$AA$68="Alta",'Mapa final'!$AC$68="Moderado"),CONCATENATE("R10C",'Mapa final'!$Q$68),"")</f>
        <v/>
      </c>
      <c r="AB25" s="45" t="str">
        <f>IF(AND('Mapa final'!$AA$63="Alta",'Mapa final'!$AC$63="Mayor"),CONCATENATE("R10C",'Mapa final'!$Q$63),"")</f>
        <v/>
      </c>
      <c r="AC25" s="46" t="str">
        <f>IF(AND('Mapa final'!$AA$64="Alta",'Mapa final'!$AC$64="Mayor"),CONCATENATE("R10C",'Mapa final'!$Q$64),"")</f>
        <v/>
      </c>
      <c r="AD25" s="46" t="str">
        <f>IF(AND('Mapa final'!$AA$65="Alta",'Mapa final'!$AC$65="Mayor"),CONCATENATE("R10C",'Mapa final'!$Q$65),"")</f>
        <v/>
      </c>
      <c r="AE25" s="46" t="str">
        <f>IF(AND('Mapa final'!$AA$66="Alta",'Mapa final'!$AC$66="Mayor"),CONCATENATE("R10C",'Mapa final'!$Q$66),"")</f>
        <v/>
      </c>
      <c r="AF25" s="46" t="str">
        <f>IF(AND('Mapa final'!$AA$67="Alta",'Mapa final'!$AC$67="Mayor"),CONCATENATE("R10C",'Mapa final'!$Q$67),"")</f>
        <v/>
      </c>
      <c r="AG25" s="47" t="str">
        <f>IF(AND('Mapa final'!$AA$68="Alta",'Mapa final'!$AC$68="Mayor"),CONCATENATE("R10C",'Mapa final'!$Q$68),"")</f>
        <v/>
      </c>
      <c r="AH25" s="48" t="str">
        <f>IF(AND('Mapa final'!$AA$63="Alta",'Mapa final'!$AC$63="Catastrófico"),CONCATENATE("R10C",'Mapa final'!$Q$63),"")</f>
        <v/>
      </c>
      <c r="AI25" s="49" t="str">
        <f>IF(AND('Mapa final'!$AA$64="Alta",'Mapa final'!$AC$64="Catastrófico"),CONCATENATE("R10C",'Mapa final'!$Q$64),"")</f>
        <v/>
      </c>
      <c r="AJ25" s="49" t="str">
        <f>IF(AND('Mapa final'!$AA$65="Alta",'Mapa final'!$AC$65="Catastrófico"),CONCATENATE("R10C",'Mapa final'!$Q$65),"")</f>
        <v/>
      </c>
      <c r="AK25" s="49" t="str">
        <f>IF(AND('Mapa final'!$AA$66="Alta",'Mapa final'!$AC$66="Catastrófico"),CONCATENATE("R10C",'Mapa final'!$Q$66),"")</f>
        <v/>
      </c>
      <c r="AL25" s="49" t="str">
        <f>IF(AND('Mapa final'!$AA$67="Alta",'Mapa final'!$AC$67="Catastrófico"),CONCATENATE("R10C",'Mapa final'!$Q$67),"")</f>
        <v/>
      </c>
      <c r="AM25" s="50" t="str">
        <f>IF(AND('Mapa final'!$AA$68="Alta",'Mapa final'!$AC$68="Catastrófico"),CONCATENATE("R10C",'Mapa final'!$Q$68),"")</f>
        <v/>
      </c>
      <c r="AN25" s="70"/>
      <c r="AO25" s="328"/>
      <c r="AP25" s="329"/>
      <c r="AQ25" s="329"/>
      <c r="AR25" s="329"/>
      <c r="AS25" s="329"/>
      <c r="AT25" s="33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34"/>
      <c r="C26" s="234"/>
      <c r="D26" s="235"/>
      <c r="E26" s="331" t="s">
        <v>113</v>
      </c>
      <c r="F26" s="332"/>
      <c r="G26" s="332"/>
      <c r="H26" s="332"/>
      <c r="I26" s="350"/>
      <c r="J26" s="51" t="str">
        <f ca="1">IF(AND('Mapa final'!$AA$9="Media",'Mapa final'!$AC$9="Leve"),CONCATENATE("R1C",'Mapa final'!$Q$9),"")</f>
        <v/>
      </c>
      <c r="K26" s="52" t="str">
        <f ca="1">IF(AND('Mapa final'!$AA$10="Media",'Mapa final'!$AC$10="Leve"),CONCATENATE("R1C",'Mapa final'!$Q$10),"")</f>
        <v/>
      </c>
      <c r="L26" s="52" t="str">
        <f>IF(AND('Mapa final'!$AA$11="Media",'Mapa final'!$AC$11="Leve"),CONCATENATE("R1C",'Mapa final'!$Q$11),"")</f>
        <v/>
      </c>
      <c r="M26" s="52" t="str">
        <f>IF(AND('Mapa final'!$AA$12="Media",'Mapa final'!$AC$12="Leve"),CONCATENATE("R1C",'Mapa final'!$Q$12),"")</f>
        <v/>
      </c>
      <c r="N26" s="52" t="str">
        <f>IF(AND('Mapa final'!$AA$13="Media",'Mapa final'!$AC$13="Leve"),CONCATENATE("R1C",'Mapa final'!$Q$13),"")</f>
        <v/>
      </c>
      <c r="O26" s="53" t="str">
        <f>IF(AND('Mapa final'!$AA$14="Media",'Mapa final'!$AC$14="Leve"),CONCATENATE("R1C",'Mapa final'!$Q$14),"")</f>
        <v/>
      </c>
      <c r="P26" s="51" t="str">
        <f ca="1">IF(AND('Mapa final'!$AA$9="Media",'Mapa final'!$AC$9="Menor"),CONCATENATE("R1C",'Mapa final'!$Q$9),"")</f>
        <v/>
      </c>
      <c r="Q26" s="52" t="str">
        <f ca="1">IF(AND('Mapa final'!$AA$10="Media",'Mapa final'!$AC$10="Menor"),CONCATENATE("R1C",'Mapa final'!$Q$10),"")</f>
        <v/>
      </c>
      <c r="R26" s="52" t="str">
        <f>IF(AND('Mapa final'!$AA$11="Media",'Mapa final'!$AC$11="Menor"),CONCATENATE("R1C",'Mapa final'!$Q$11),"")</f>
        <v/>
      </c>
      <c r="S26" s="52" t="str">
        <f>IF(AND('Mapa final'!$AA$12="Media",'Mapa final'!$AC$12="Menor"),CONCATENATE("R1C",'Mapa final'!$Q$12),"")</f>
        <v/>
      </c>
      <c r="T26" s="52" t="str">
        <f>IF(AND('Mapa final'!$AA$13="Media",'Mapa final'!$AC$13="Menor"),CONCATENATE("R1C",'Mapa final'!$Q$13),"")</f>
        <v/>
      </c>
      <c r="U26" s="53" t="str">
        <f>IF(AND('Mapa final'!$AA$14="Media",'Mapa final'!$AC$14="Menor"),CONCATENATE("R1C",'Mapa final'!$Q$14),"")</f>
        <v/>
      </c>
      <c r="V26" s="51" t="str">
        <f ca="1">IF(AND('Mapa final'!$AA$9="Media",'Mapa final'!$AC$9="Moderado"),CONCATENATE("R1C",'Mapa final'!$Q$9),"")</f>
        <v>R1C1</v>
      </c>
      <c r="W26" s="52" t="str">
        <f ca="1">IF(AND('Mapa final'!$AA$10="Media",'Mapa final'!$AC$10="Moderado"),CONCATENATE("R1C",'Mapa final'!$Q$10),"")</f>
        <v/>
      </c>
      <c r="X26" s="52" t="str">
        <f>IF(AND('Mapa final'!$AA$11="Media",'Mapa final'!$AC$11="Moderado"),CONCATENATE("R1C",'Mapa final'!$Q$11),"")</f>
        <v/>
      </c>
      <c r="Y26" s="52" t="str">
        <f>IF(AND('Mapa final'!$AA$12="Media",'Mapa final'!$AC$12="Moderado"),CONCATENATE("R1C",'Mapa final'!$Q$12),"")</f>
        <v/>
      </c>
      <c r="Z26" s="52" t="str">
        <f>IF(AND('Mapa final'!$AA$13="Media",'Mapa final'!$AC$13="Moderado"),CONCATENATE("R1C",'Mapa final'!$Q$13),"")</f>
        <v/>
      </c>
      <c r="AA26" s="53" t="str">
        <f>IF(AND('Mapa final'!$AA$14="Media",'Mapa final'!$AC$14="Moderado"),CONCATENATE("R1C",'Mapa final'!$Q$14),"")</f>
        <v/>
      </c>
      <c r="AB26" s="32" t="str">
        <f ca="1">IF(AND('Mapa final'!$AA$9="Media",'Mapa final'!$AC$9="Mayor"),CONCATENATE("R1C",'Mapa final'!$Q$9),"")</f>
        <v/>
      </c>
      <c r="AC26" s="33" t="str">
        <f ca="1">IF(AND('Mapa final'!$AA$10="Media",'Mapa final'!$AC$10="Mayor"),CONCATENATE("R1C",'Mapa final'!$Q$10),"")</f>
        <v/>
      </c>
      <c r="AD26" s="33" t="str">
        <f>IF(AND('Mapa final'!$AA$11="Media",'Mapa final'!$AC$11="Mayor"),CONCATENATE("R1C",'Mapa final'!$Q$11),"")</f>
        <v/>
      </c>
      <c r="AE26" s="33" t="str">
        <f>IF(AND('Mapa final'!$AA$12="Media",'Mapa final'!$AC$12="Mayor"),CONCATENATE("R1C",'Mapa final'!$Q$12),"")</f>
        <v/>
      </c>
      <c r="AF26" s="33" t="str">
        <f>IF(AND('Mapa final'!$AA$13="Media",'Mapa final'!$AC$13="Mayor"),CONCATENATE("R1C",'Mapa final'!$Q$13),"")</f>
        <v/>
      </c>
      <c r="AG26" s="34" t="str">
        <f>IF(AND('Mapa final'!$AA$14="Media",'Mapa final'!$AC$14="Mayor"),CONCATENATE("R1C",'Mapa final'!$Q$14),"")</f>
        <v/>
      </c>
      <c r="AH26" s="35" t="str">
        <f ca="1">IF(AND('Mapa final'!$AA$9="Media",'Mapa final'!$AC$9="Catastrófico"),CONCATENATE("R1C",'Mapa final'!$Q$9),"")</f>
        <v/>
      </c>
      <c r="AI26" s="36" t="str">
        <f ca="1">IF(AND('Mapa final'!$AA$10="Media",'Mapa final'!$AC$10="Catastrófico"),CONCATENATE("R1C",'Mapa final'!$Q$10),"")</f>
        <v/>
      </c>
      <c r="AJ26" s="36" t="str">
        <f>IF(AND('Mapa final'!$AA$11="Media",'Mapa final'!$AC$11="Catastrófico"),CONCATENATE("R1C",'Mapa final'!$Q$11),"")</f>
        <v/>
      </c>
      <c r="AK26" s="36" t="str">
        <f>IF(AND('Mapa final'!$AA$12="Media",'Mapa final'!$AC$12="Catastrófico"),CONCATENATE("R1C",'Mapa final'!$Q$12),"")</f>
        <v/>
      </c>
      <c r="AL26" s="36" t="str">
        <f>IF(AND('Mapa final'!$AA$13="Media",'Mapa final'!$AC$13="Catastrófico"),CONCATENATE("R1C",'Mapa final'!$Q$13),"")</f>
        <v/>
      </c>
      <c r="AM26" s="37" t="str">
        <f>IF(AND('Mapa final'!$AA$14="Media",'Mapa final'!$AC$14="Catastrófico"),CONCATENATE("R1C",'Mapa final'!$Q$14),"")</f>
        <v/>
      </c>
      <c r="AN26" s="70"/>
      <c r="AO26" s="362" t="s">
        <v>77</v>
      </c>
      <c r="AP26" s="363"/>
      <c r="AQ26" s="363"/>
      <c r="AR26" s="363"/>
      <c r="AS26" s="363"/>
      <c r="AT26" s="364"/>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34"/>
      <c r="C27" s="234"/>
      <c r="D27" s="235"/>
      <c r="E27" s="333"/>
      <c r="F27" s="334"/>
      <c r="G27" s="334"/>
      <c r="H27" s="334"/>
      <c r="I27" s="351"/>
      <c r="J27" s="54" t="str">
        <f ca="1">IF(AND('Mapa final'!$AA$15="Media",'Mapa final'!$AC$15="Leve"),CONCATENATE("R2C",'Mapa final'!$Q$15),"")</f>
        <v/>
      </c>
      <c r="K27" s="55" t="str">
        <f ca="1">IF(AND('Mapa final'!$AA$16="Media",'Mapa final'!$AC$16="Leve"),CONCATENATE("R2C",'Mapa final'!$Q$16),"")</f>
        <v/>
      </c>
      <c r="L27" s="55" t="str">
        <f>IF(AND('Mapa final'!$AA$17="Media",'Mapa final'!$AC$17="Leve"),CONCATENATE("R2C",'Mapa final'!$Q$17),"")</f>
        <v/>
      </c>
      <c r="M27" s="55" t="str">
        <f>IF(AND('Mapa final'!$AA$18="Media",'Mapa final'!$AC$18="Leve"),CONCATENATE("R2C",'Mapa final'!$Q$18),"")</f>
        <v/>
      </c>
      <c r="N27" s="55" t="str">
        <f>IF(AND('Mapa final'!$AA$19="Media",'Mapa final'!$AC$19="Leve"),CONCATENATE("R2C",'Mapa final'!$Q$19),"")</f>
        <v/>
      </c>
      <c r="O27" s="56" t="str">
        <f>IF(AND('Mapa final'!$AA$20="Media",'Mapa final'!$AC$20="Leve"),CONCATENATE("R2C",'Mapa final'!$Q$20),"")</f>
        <v/>
      </c>
      <c r="P27" s="54" t="str">
        <f ca="1">IF(AND('Mapa final'!$AA$15="Media",'Mapa final'!$AC$15="Menor"),CONCATENATE("R2C",'Mapa final'!$Q$15),"")</f>
        <v/>
      </c>
      <c r="Q27" s="55" t="str">
        <f ca="1">IF(AND('Mapa final'!$AA$16="Media",'Mapa final'!$AC$16="Menor"),CONCATENATE("R2C",'Mapa final'!$Q$16),"")</f>
        <v/>
      </c>
      <c r="R27" s="55" t="str">
        <f>IF(AND('Mapa final'!$AA$17="Media",'Mapa final'!$AC$17="Menor"),CONCATENATE("R2C",'Mapa final'!$Q$17),"")</f>
        <v/>
      </c>
      <c r="S27" s="55" t="str">
        <f>IF(AND('Mapa final'!$AA$18="Media",'Mapa final'!$AC$18="Menor"),CONCATENATE("R2C",'Mapa final'!$Q$18),"")</f>
        <v/>
      </c>
      <c r="T27" s="55" t="str">
        <f>IF(AND('Mapa final'!$AA$19="Media",'Mapa final'!$AC$19="Menor"),CONCATENATE("R2C",'Mapa final'!$Q$19),"")</f>
        <v/>
      </c>
      <c r="U27" s="56" t="str">
        <f>IF(AND('Mapa final'!$AA$20="Media",'Mapa final'!$AC$20="Menor"),CONCATENATE("R2C",'Mapa final'!$Q$20),"")</f>
        <v/>
      </c>
      <c r="V27" s="54" t="str">
        <f ca="1">IF(AND('Mapa final'!$AA$15="Media",'Mapa final'!$AC$15="Moderado"),CONCATENATE("R2C",'Mapa final'!$Q$15),"")</f>
        <v/>
      </c>
      <c r="W27" s="55" t="str">
        <f ca="1">IF(AND('Mapa final'!$AA$16="Media",'Mapa final'!$AC$16="Moderado"),CONCATENATE("R2C",'Mapa final'!$Q$16),"")</f>
        <v/>
      </c>
      <c r="X27" s="55" t="str">
        <f>IF(AND('Mapa final'!$AA$17="Media",'Mapa final'!$AC$17="Moderado"),CONCATENATE("R2C",'Mapa final'!$Q$17),"")</f>
        <v/>
      </c>
      <c r="Y27" s="55" t="str">
        <f>IF(AND('Mapa final'!$AA$18="Media",'Mapa final'!$AC$18="Moderado"),CONCATENATE("R2C",'Mapa final'!$Q$18),"")</f>
        <v/>
      </c>
      <c r="Z27" s="55" t="str">
        <f>IF(AND('Mapa final'!$AA$19="Media",'Mapa final'!$AC$19="Moderado"),CONCATENATE("R2C",'Mapa final'!$Q$19),"")</f>
        <v/>
      </c>
      <c r="AA27" s="56" t="str">
        <f>IF(AND('Mapa final'!$AA$20="Media",'Mapa final'!$AC$20="Moderado"),CONCATENATE("R2C",'Mapa final'!$Q$20),"")</f>
        <v/>
      </c>
      <c r="AB27" s="38" t="str">
        <f ca="1">IF(AND('Mapa final'!$AA$15="Media",'Mapa final'!$AC$15="Mayor"),CONCATENATE("R2C",'Mapa final'!$Q$15),"")</f>
        <v/>
      </c>
      <c r="AC27" s="39" t="str">
        <f ca="1">IF(AND('Mapa final'!$AA$16="Media",'Mapa final'!$AC$16="Mayor"),CONCATENATE("R2C",'Mapa final'!$Q$16),"")</f>
        <v/>
      </c>
      <c r="AD27" s="39" t="str">
        <f>IF(AND('Mapa final'!$AA$17="Media",'Mapa final'!$AC$17="Mayor"),CONCATENATE("R2C",'Mapa final'!$Q$17),"")</f>
        <v/>
      </c>
      <c r="AE27" s="39" t="str">
        <f>IF(AND('Mapa final'!$AA$18="Media",'Mapa final'!$AC$18="Mayor"),CONCATENATE("R2C",'Mapa final'!$Q$18),"")</f>
        <v/>
      </c>
      <c r="AF27" s="39" t="str">
        <f>IF(AND('Mapa final'!$AA$19="Media",'Mapa final'!$AC$19="Mayor"),CONCATENATE("R2C",'Mapa final'!$Q$19),"")</f>
        <v/>
      </c>
      <c r="AG27" s="40" t="str">
        <f>IF(AND('Mapa final'!$AA$20="Media",'Mapa final'!$AC$20="Mayor"),CONCATENATE("R2C",'Mapa final'!$Q$20),"")</f>
        <v/>
      </c>
      <c r="AH27" s="41" t="str">
        <f ca="1">IF(AND('Mapa final'!$AA$15="Media",'Mapa final'!$AC$15="Catastrófico"),CONCATENATE("R2C",'Mapa final'!$Q$15),"")</f>
        <v/>
      </c>
      <c r="AI27" s="42" t="str">
        <f ca="1">IF(AND('Mapa final'!$AA$16="Media",'Mapa final'!$AC$16="Catastrófico"),CONCATENATE("R2C",'Mapa final'!$Q$16),"")</f>
        <v/>
      </c>
      <c r="AJ27" s="42" t="str">
        <f>IF(AND('Mapa final'!$AA$17="Media",'Mapa final'!$AC$17="Catastrófico"),CONCATENATE("R2C",'Mapa final'!$Q$17),"")</f>
        <v/>
      </c>
      <c r="AK27" s="42" t="str">
        <f>IF(AND('Mapa final'!$AA$18="Media",'Mapa final'!$AC$18="Catastrófico"),CONCATENATE("R2C",'Mapa final'!$Q$18),"")</f>
        <v/>
      </c>
      <c r="AL27" s="42" t="str">
        <f>IF(AND('Mapa final'!$AA$19="Media",'Mapa final'!$AC$19="Catastrófico"),CONCATENATE("R2C",'Mapa final'!$Q$19),"")</f>
        <v/>
      </c>
      <c r="AM27" s="43" t="str">
        <f>IF(AND('Mapa final'!$AA$20="Media",'Mapa final'!$AC$20="Catastrófico"),CONCATENATE("R2C",'Mapa final'!$Q$20),"")</f>
        <v/>
      </c>
      <c r="AN27" s="70"/>
      <c r="AO27" s="365"/>
      <c r="AP27" s="366"/>
      <c r="AQ27" s="366"/>
      <c r="AR27" s="366"/>
      <c r="AS27" s="366"/>
      <c r="AT27" s="367"/>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34"/>
      <c r="C28" s="234"/>
      <c r="D28" s="235"/>
      <c r="E28" s="335"/>
      <c r="F28" s="336"/>
      <c r="G28" s="336"/>
      <c r="H28" s="336"/>
      <c r="I28" s="351"/>
      <c r="J28" s="54" t="str">
        <f ca="1">IF(AND('Mapa final'!$AA$21="Media",'Mapa final'!$AC$21="Leve"),CONCATENATE("R3C",'Mapa final'!$Q$21),"")</f>
        <v/>
      </c>
      <c r="K28" s="55" t="str">
        <f>IF(AND('Mapa final'!$AA$22="Media",'Mapa final'!$AC$22="Leve"),CONCATENATE("R3C",'Mapa final'!$Q$22),"")</f>
        <v/>
      </c>
      <c r="L28" s="55" t="str">
        <f>IF(AND('Mapa final'!$AA$23="Media",'Mapa final'!$AC$23="Leve"),CONCATENATE("R3C",'Mapa final'!$Q$23),"")</f>
        <v/>
      </c>
      <c r="M28" s="55" t="str">
        <f>IF(AND('Mapa final'!$AA$24="Media",'Mapa final'!$AC$24="Leve"),CONCATENATE("R3C",'Mapa final'!$Q$24),"")</f>
        <v/>
      </c>
      <c r="N28" s="55" t="str">
        <f>IF(AND('Mapa final'!$AA$25="Media",'Mapa final'!$AC$25="Leve"),CONCATENATE("R3C",'Mapa final'!$Q$25),"")</f>
        <v/>
      </c>
      <c r="O28" s="56" t="str">
        <f>IF(AND('Mapa final'!$AA$26="Media",'Mapa final'!$AC$26="Leve"),CONCATENATE("R3C",'Mapa final'!$Q$26),"")</f>
        <v/>
      </c>
      <c r="P28" s="54" t="str">
        <f ca="1">IF(AND('Mapa final'!$AA$21="Media",'Mapa final'!$AC$21="Menor"),CONCATENATE("R3C",'Mapa final'!$Q$21),"")</f>
        <v/>
      </c>
      <c r="Q28" s="55" t="str">
        <f>IF(AND('Mapa final'!$AA$22="Media",'Mapa final'!$AC$22="Menor"),CONCATENATE("R3C",'Mapa final'!$Q$22),"")</f>
        <v/>
      </c>
      <c r="R28" s="55" t="str">
        <f>IF(AND('Mapa final'!$AA$23="Media",'Mapa final'!$AC$23="Menor"),CONCATENATE("R3C",'Mapa final'!$Q$23),"")</f>
        <v/>
      </c>
      <c r="S28" s="55" t="str">
        <f>IF(AND('Mapa final'!$AA$24="Media",'Mapa final'!$AC$24="Menor"),CONCATENATE("R3C",'Mapa final'!$Q$24),"")</f>
        <v/>
      </c>
      <c r="T28" s="55" t="str">
        <f>IF(AND('Mapa final'!$AA$25="Media",'Mapa final'!$AC$25="Menor"),CONCATENATE("R3C",'Mapa final'!$Q$25),"")</f>
        <v/>
      </c>
      <c r="U28" s="56" t="str">
        <f>IF(AND('Mapa final'!$AA$26="Media",'Mapa final'!$AC$26="Menor"),CONCATENATE("R3C",'Mapa final'!$Q$26),"")</f>
        <v/>
      </c>
      <c r="V28" s="54" t="str">
        <f ca="1">IF(AND('Mapa final'!$AA$21="Media",'Mapa final'!$AC$21="Moderado"),CONCATENATE("R3C",'Mapa final'!$Q$21),"")</f>
        <v/>
      </c>
      <c r="W28" s="55" t="str">
        <f>IF(AND('Mapa final'!$AA$22="Media",'Mapa final'!$AC$22="Moderado"),CONCATENATE("R3C",'Mapa final'!$Q$22),"")</f>
        <v/>
      </c>
      <c r="X28" s="55" t="str">
        <f>IF(AND('Mapa final'!$AA$23="Media",'Mapa final'!$AC$23="Moderado"),CONCATENATE("R3C",'Mapa final'!$Q$23),"")</f>
        <v/>
      </c>
      <c r="Y28" s="55" t="str">
        <f>IF(AND('Mapa final'!$AA$24="Media",'Mapa final'!$AC$24="Moderado"),CONCATENATE("R3C",'Mapa final'!$Q$24),"")</f>
        <v/>
      </c>
      <c r="Z28" s="55" t="str">
        <f>IF(AND('Mapa final'!$AA$25="Media",'Mapa final'!$AC$25="Moderado"),CONCATENATE("R3C",'Mapa final'!$Q$25),"")</f>
        <v/>
      </c>
      <c r="AA28" s="56" t="str">
        <f>IF(AND('Mapa final'!$AA$26="Media",'Mapa final'!$AC$26="Moderado"),CONCATENATE("R3C",'Mapa final'!$Q$26),"")</f>
        <v/>
      </c>
      <c r="AB28" s="38" t="str">
        <f ca="1">IF(AND('Mapa final'!$AA$21="Media",'Mapa final'!$AC$21="Mayor"),CONCATENATE("R3C",'Mapa final'!$Q$21),"")</f>
        <v/>
      </c>
      <c r="AC28" s="39" t="str">
        <f>IF(AND('Mapa final'!$AA$22="Media",'Mapa final'!$AC$22="Mayor"),CONCATENATE("R3C",'Mapa final'!$Q$22),"")</f>
        <v/>
      </c>
      <c r="AD28" s="39" t="str">
        <f>IF(AND('Mapa final'!$AA$23="Media",'Mapa final'!$AC$23="Mayor"),CONCATENATE("R3C",'Mapa final'!$Q$23),"")</f>
        <v/>
      </c>
      <c r="AE28" s="39" t="str">
        <f>IF(AND('Mapa final'!$AA$24="Media",'Mapa final'!$AC$24="Mayor"),CONCATENATE("R3C",'Mapa final'!$Q$24),"")</f>
        <v/>
      </c>
      <c r="AF28" s="39" t="str">
        <f>IF(AND('Mapa final'!$AA$25="Media",'Mapa final'!$AC$25="Mayor"),CONCATENATE("R3C",'Mapa final'!$Q$25),"")</f>
        <v/>
      </c>
      <c r="AG28" s="40" t="str">
        <f>IF(AND('Mapa final'!$AA$26="Media",'Mapa final'!$AC$26="Mayor"),CONCATENATE("R3C",'Mapa final'!$Q$26),"")</f>
        <v/>
      </c>
      <c r="AH28" s="41" t="str">
        <f ca="1">IF(AND('Mapa final'!$AA$21="Media",'Mapa final'!$AC$21="Catastrófico"),CONCATENATE("R3C",'Mapa final'!$Q$21),"")</f>
        <v/>
      </c>
      <c r="AI28" s="42" t="str">
        <f>IF(AND('Mapa final'!$AA$22="Media",'Mapa final'!$AC$22="Catastrófico"),CONCATENATE("R3C",'Mapa final'!$Q$22),"")</f>
        <v/>
      </c>
      <c r="AJ28" s="42" t="str">
        <f>IF(AND('Mapa final'!$AA$23="Media",'Mapa final'!$AC$23="Catastrófico"),CONCATENATE("R3C",'Mapa final'!$Q$23),"")</f>
        <v/>
      </c>
      <c r="AK28" s="42" t="str">
        <f>IF(AND('Mapa final'!$AA$24="Media",'Mapa final'!$AC$24="Catastrófico"),CONCATENATE("R3C",'Mapa final'!$Q$24),"")</f>
        <v/>
      </c>
      <c r="AL28" s="42" t="str">
        <f>IF(AND('Mapa final'!$AA$25="Media",'Mapa final'!$AC$25="Catastrófico"),CONCATENATE("R3C",'Mapa final'!$Q$25),"")</f>
        <v/>
      </c>
      <c r="AM28" s="43" t="str">
        <f>IF(AND('Mapa final'!$AA$26="Media",'Mapa final'!$AC$26="Catastrófico"),CONCATENATE("R3C",'Mapa final'!$Q$26),"")</f>
        <v/>
      </c>
      <c r="AN28" s="70"/>
      <c r="AO28" s="365"/>
      <c r="AP28" s="366"/>
      <c r="AQ28" s="366"/>
      <c r="AR28" s="366"/>
      <c r="AS28" s="366"/>
      <c r="AT28" s="367"/>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34"/>
      <c r="C29" s="234"/>
      <c r="D29" s="235"/>
      <c r="E29" s="335"/>
      <c r="F29" s="336"/>
      <c r="G29" s="336"/>
      <c r="H29" s="336"/>
      <c r="I29" s="351"/>
      <c r="J29" s="54" t="str">
        <f ca="1">IF(AND('Mapa final'!$AA$27="Media",'Mapa final'!$AC$27="Leve"),CONCATENATE("R4C",'Mapa final'!$Q$27),"")</f>
        <v/>
      </c>
      <c r="K29" s="55" t="str">
        <f ca="1">IF(AND('Mapa final'!$AA$28="Media",'Mapa final'!$AC$28="Leve"),CONCATENATE("R4C",'Mapa final'!$Q$28),"")</f>
        <v/>
      </c>
      <c r="L29" s="55" t="str">
        <f ca="1">IF(AND('Mapa final'!$AA$29="Media",'Mapa final'!$AC$29="Leve"),CONCATENATE("R4C",'Mapa final'!$Q$29),"")</f>
        <v/>
      </c>
      <c r="M29" s="55" t="str">
        <f>IF(AND('Mapa final'!$AA$30="Media",'Mapa final'!$AC$30="Leve"),CONCATENATE("R4C",'Mapa final'!$Q$30),"")</f>
        <v/>
      </c>
      <c r="N29" s="55" t="str">
        <f>IF(AND('Mapa final'!$AA$31="Media",'Mapa final'!$AC$31="Leve"),CONCATENATE("R4C",'Mapa final'!$Q$31),"")</f>
        <v/>
      </c>
      <c r="O29" s="56" t="str">
        <f>IF(AND('Mapa final'!$AA$32="Media",'Mapa final'!$AC$32="Leve"),CONCATENATE("R4C",'Mapa final'!$Q$32),"")</f>
        <v/>
      </c>
      <c r="P29" s="54" t="str">
        <f ca="1">IF(AND('Mapa final'!$AA$27="Media",'Mapa final'!$AC$27="Menor"),CONCATENATE("R4C",'Mapa final'!$Q$27),"")</f>
        <v/>
      </c>
      <c r="Q29" s="55" t="str">
        <f ca="1">IF(AND('Mapa final'!$AA$28="Media",'Mapa final'!$AC$28="Menor"),CONCATENATE("R4C",'Mapa final'!$Q$28),"")</f>
        <v/>
      </c>
      <c r="R29" s="55" t="str">
        <f ca="1">IF(AND('Mapa final'!$AA$29="Media",'Mapa final'!$AC$29="Menor"),CONCATENATE("R4C",'Mapa final'!$Q$29),"")</f>
        <v/>
      </c>
      <c r="S29" s="55" t="str">
        <f>IF(AND('Mapa final'!$AA$30="Media",'Mapa final'!$AC$30="Menor"),CONCATENATE("R4C",'Mapa final'!$Q$30),"")</f>
        <v/>
      </c>
      <c r="T29" s="55" t="str">
        <f>IF(AND('Mapa final'!$AA$31="Media",'Mapa final'!$AC$31="Menor"),CONCATENATE("R4C",'Mapa final'!$Q$31),"")</f>
        <v/>
      </c>
      <c r="U29" s="56" t="str">
        <f>IF(AND('Mapa final'!$AA$32="Media",'Mapa final'!$AC$32="Menor"),CONCATENATE("R4C",'Mapa final'!$Q$32),"")</f>
        <v/>
      </c>
      <c r="V29" s="54" t="str">
        <f ca="1">IF(AND('Mapa final'!$AA$27="Media",'Mapa final'!$AC$27="Moderado"),CONCATENATE("R4C",'Mapa final'!$Q$27),"")</f>
        <v/>
      </c>
      <c r="W29" s="55" t="str">
        <f ca="1">IF(AND('Mapa final'!$AA$28="Media",'Mapa final'!$AC$28="Moderado"),CONCATENATE("R4C",'Mapa final'!$Q$28),"")</f>
        <v/>
      </c>
      <c r="X29" s="55" t="str">
        <f ca="1">IF(AND('Mapa final'!$AA$29="Media",'Mapa final'!$AC$29="Moderado"),CONCATENATE("R4C",'Mapa final'!$Q$29),"")</f>
        <v/>
      </c>
      <c r="Y29" s="55" t="str">
        <f>IF(AND('Mapa final'!$AA$30="Media",'Mapa final'!$AC$30="Moderado"),CONCATENATE("R4C",'Mapa final'!$Q$30),"")</f>
        <v/>
      </c>
      <c r="Z29" s="55" t="str">
        <f>IF(AND('Mapa final'!$AA$31="Media",'Mapa final'!$AC$31="Moderado"),CONCATENATE("R4C",'Mapa final'!$Q$31),"")</f>
        <v/>
      </c>
      <c r="AA29" s="56" t="str">
        <f>IF(AND('Mapa final'!$AA$32="Media",'Mapa final'!$AC$32="Moderado"),CONCATENATE("R4C",'Mapa final'!$Q$32),"")</f>
        <v/>
      </c>
      <c r="AB29" s="38" t="str">
        <f ca="1">IF(AND('Mapa final'!$AA$27="Media",'Mapa final'!$AC$27="Mayor"),CONCATENATE("R4C",'Mapa final'!$Q$27),"")</f>
        <v/>
      </c>
      <c r="AC29" s="39" t="str">
        <f ca="1">IF(AND('Mapa final'!$AA$28="Media",'Mapa final'!$AC$28="Mayor"),CONCATENATE("R4C",'Mapa final'!$Q$28),"")</f>
        <v/>
      </c>
      <c r="AD29" s="44" t="str">
        <f ca="1">IF(AND('Mapa final'!$AA$29="Media",'Mapa final'!$AC$29="Mayor"),CONCATENATE("R4C",'Mapa final'!$Q$29),"")</f>
        <v/>
      </c>
      <c r="AE29" s="44" t="str">
        <f>IF(AND('Mapa final'!$AA$30="Media",'Mapa final'!$AC$30="Mayor"),CONCATENATE("R4C",'Mapa final'!$Q$30),"")</f>
        <v/>
      </c>
      <c r="AF29" s="44" t="str">
        <f>IF(AND('Mapa final'!$AA$31="Media",'Mapa final'!$AC$31="Mayor"),CONCATENATE("R4C",'Mapa final'!$Q$31),"")</f>
        <v/>
      </c>
      <c r="AG29" s="40" t="str">
        <f>IF(AND('Mapa final'!$AA$32="Media",'Mapa final'!$AC$32="Mayor"),CONCATENATE("R4C",'Mapa final'!$Q$32),"")</f>
        <v/>
      </c>
      <c r="AH29" s="41" t="str">
        <f ca="1">IF(AND('Mapa final'!$AA$27="Media",'Mapa final'!$AC$27="Catastrófico"),CONCATENATE("R4C",'Mapa final'!$Q$27),"")</f>
        <v/>
      </c>
      <c r="AI29" s="42" t="str">
        <f ca="1">IF(AND('Mapa final'!$AA$28="Media",'Mapa final'!$AC$28="Catastrófico"),CONCATENATE("R4C",'Mapa final'!$Q$28),"")</f>
        <v/>
      </c>
      <c r="AJ29" s="42" t="str">
        <f ca="1">IF(AND('Mapa final'!$AA$29="Media",'Mapa final'!$AC$29="Catastrófico"),CONCATENATE("R4C",'Mapa final'!$Q$29),"")</f>
        <v/>
      </c>
      <c r="AK29" s="42" t="str">
        <f>IF(AND('Mapa final'!$AA$30="Media",'Mapa final'!$AC$30="Catastrófico"),CONCATENATE("R4C",'Mapa final'!$Q$30),"")</f>
        <v/>
      </c>
      <c r="AL29" s="42" t="str">
        <f>IF(AND('Mapa final'!$AA$31="Media",'Mapa final'!$AC$31="Catastrófico"),CONCATENATE("R4C",'Mapa final'!$Q$31),"")</f>
        <v/>
      </c>
      <c r="AM29" s="43" t="str">
        <f>IF(AND('Mapa final'!$AA$32="Media",'Mapa final'!$AC$32="Catastrófico"),CONCATENATE("R4C",'Mapa final'!$Q$32),"")</f>
        <v/>
      </c>
      <c r="AN29" s="70"/>
      <c r="AO29" s="365"/>
      <c r="AP29" s="366"/>
      <c r="AQ29" s="366"/>
      <c r="AR29" s="366"/>
      <c r="AS29" s="366"/>
      <c r="AT29" s="367"/>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34"/>
      <c r="C30" s="234"/>
      <c r="D30" s="235"/>
      <c r="E30" s="335"/>
      <c r="F30" s="336"/>
      <c r="G30" s="336"/>
      <c r="H30" s="336"/>
      <c r="I30" s="351"/>
      <c r="J30" s="54" t="str">
        <f ca="1">IF(AND('Mapa final'!$AA$33="Media",'Mapa final'!$AC$33="Leve"),CONCATENATE("R5C",'Mapa final'!$Q$33),"")</f>
        <v/>
      </c>
      <c r="K30" s="55" t="str">
        <f ca="1">IF(AND('Mapa final'!$AA$34="Media",'Mapa final'!$AC$34="Leve"),CONCATENATE("R5C",'Mapa final'!$Q$34),"")</f>
        <v/>
      </c>
      <c r="L30" s="55" t="str">
        <f>IF(AND('Mapa final'!$AA$35="Media",'Mapa final'!$AC$35="Leve"),CONCATENATE("R5C",'Mapa final'!$Q$35),"")</f>
        <v/>
      </c>
      <c r="M30" s="55" t="str">
        <f>IF(AND('Mapa final'!$AA$36="Media",'Mapa final'!$AC$36="Leve"),CONCATENATE("R5C",'Mapa final'!$Q$36),"")</f>
        <v/>
      </c>
      <c r="N30" s="55" t="str">
        <f>IF(AND('Mapa final'!$AA$37="Media",'Mapa final'!$AC$37="Leve"),CONCATENATE("R5C",'Mapa final'!$Q$37),"")</f>
        <v/>
      </c>
      <c r="O30" s="56" t="str">
        <f>IF(AND('Mapa final'!$AA$38="Media",'Mapa final'!$AC$38="Leve"),CONCATENATE("R5C",'Mapa final'!$Q$38),"")</f>
        <v/>
      </c>
      <c r="P30" s="54" t="str">
        <f ca="1">IF(AND('Mapa final'!$AA$33="Media",'Mapa final'!$AC$33="Menor"),CONCATENATE("R5C",'Mapa final'!$Q$33),"")</f>
        <v/>
      </c>
      <c r="Q30" s="55" t="str">
        <f ca="1">IF(AND('Mapa final'!$AA$34="Media",'Mapa final'!$AC$34="Menor"),CONCATENATE("R5C",'Mapa final'!$Q$34),"")</f>
        <v/>
      </c>
      <c r="R30" s="55" t="str">
        <f>IF(AND('Mapa final'!$AA$35="Media",'Mapa final'!$AC$35="Menor"),CONCATENATE("R5C",'Mapa final'!$Q$35),"")</f>
        <v/>
      </c>
      <c r="S30" s="55" t="str">
        <f>IF(AND('Mapa final'!$AA$36="Media",'Mapa final'!$AC$36="Menor"),CONCATENATE("R5C",'Mapa final'!$Q$36),"")</f>
        <v/>
      </c>
      <c r="T30" s="55" t="str">
        <f>IF(AND('Mapa final'!$AA$37="Media",'Mapa final'!$AC$37="Menor"),CONCATENATE("R5C",'Mapa final'!$Q$37),"")</f>
        <v/>
      </c>
      <c r="U30" s="56" t="str">
        <f>IF(AND('Mapa final'!$AA$38="Media",'Mapa final'!$AC$38="Menor"),CONCATENATE("R5C",'Mapa final'!$Q$38),"")</f>
        <v/>
      </c>
      <c r="V30" s="54" t="str">
        <f ca="1">IF(AND('Mapa final'!$AA$33="Media",'Mapa final'!$AC$33="Moderado"),CONCATENATE("R5C",'Mapa final'!$Q$33),"")</f>
        <v/>
      </c>
      <c r="W30" s="55" t="str">
        <f ca="1">IF(AND('Mapa final'!$AA$34="Media",'Mapa final'!$AC$34="Moderado"),CONCATENATE("R5C",'Mapa final'!$Q$34),"")</f>
        <v/>
      </c>
      <c r="X30" s="55" t="str">
        <f>IF(AND('Mapa final'!$AA$35="Media",'Mapa final'!$AC$35="Moderado"),CONCATENATE("R5C",'Mapa final'!$Q$35),"")</f>
        <v/>
      </c>
      <c r="Y30" s="55" t="str">
        <f>IF(AND('Mapa final'!$AA$36="Media",'Mapa final'!$AC$36="Moderado"),CONCATENATE("R5C",'Mapa final'!$Q$36),"")</f>
        <v/>
      </c>
      <c r="Z30" s="55" t="str">
        <f>IF(AND('Mapa final'!$AA$37="Media",'Mapa final'!$AC$37="Moderado"),CONCATENATE("R5C",'Mapa final'!$Q$37),"")</f>
        <v/>
      </c>
      <c r="AA30" s="56" t="str">
        <f>IF(AND('Mapa final'!$AA$38="Media",'Mapa final'!$AC$38="Moderado"),CONCATENATE("R5C",'Mapa final'!$Q$38),"")</f>
        <v/>
      </c>
      <c r="AB30" s="38" t="str">
        <f ca="1">IF(AND('Mapa final'!$AA$33="Media",'Mapa final'!$AC$33="Mayor"),CONCATENATE("R5C",'Mapa final'!$Q$33),"")</f>
        <v/>
      </c>
      <c r="AC30" s="39" t="str">
        <f ca="1">IF(AND('Mapa final'!$AA$34="Media",'Mapa final'!$AC$34="Mayor"),CONCATENATE("R5C",'Mapa final'!$Q$34),"")</f>
        <v/>
      </c>
      <c r="AD30" s="44" t="str">
        <f>IF(AND('Mapa final'!$AA$35="Media",'Mapa final'!$AC$35="Mayor"),CONCATENATE("R5C",'Mapa final'!$Q$35),"")</f>
        <v/>
      </c>
      <c r="AE30" s="44" t="str">
        <f>IF(AND('Mapa final'!$AA$36="Media",'Mapa final'!$AC$36="Mayor"),CONCATENATE("R5C",'Mapa final'!$Q$36),"")</f>
        <v/>
      </c>
      <c r="AF30" s="44" t="str">
        <f>IF(AND('Mapa final'!$AA$37="Media",'Mapa final'!$AC$37="Mayor"),CONCATENATE("R5C",'Mapa final'!$Q$37),"")</f>
        <v/>
      </c>
      <c r="AG30" s="40" t="str">
        <f>IF(AND('Mapa final'!$AA$38="Media",'Mapa final'!$AC$38="Mayor"),CONCATENATE("R5C",'Mapa final'!$Q$38),"")</f>
        <v/>
      </c>
      <c r="AH30" s="41" t="str">
        <f ca="1">IF(AND('Mapa final'!$AA$33="Media",'Mapa final'!$AC$33="Catastrófico"),CONCATENATE("R5C",'Mapa final'!$Q$33),"")</f>
        <v/>
      </c>
      <c r="AI30" s="42" t="str">
        <f ca="1">IF(AND('Mapa final'!$AA$34="Media",'Mapa final'!$AC$34="Catastrófico"),CONCATENATE("R5C",'Mapa final'!$Q$34),"")</f>
        <v/>
      </c>
      <c r="AJ30" s="42" t="str">
        <f>IF(AND('Mapa final'!$AA$35="Media",'Mapa final'!$AC$35="Catastrófico"),CONCATENATE("R5C",'Mapa final'!$Q$35),"")</f>
        <v/>
      </c>
      <c r="AK30" s="42" t="str">
        <f>IF(AND('Mapa final'!$AA$36="Media",'Mapa final'!$AC$36="Catastrófico"),CONCATENATE("R5C",'Mapa final'!$Q$36),"")</f>
        <v/>
      </c>
      <c r="AL30" s="42" t="str">
        <f>IF(AND('Mapa final'!$AA$37="Media",'Mapa final'!$AC$37="Catastrófico"),CONCATENATE("R5C",'Mapa final'!$Q$37),"")</f>
        <v/>
      </c>
      <c r="AM30" s="43" t="str">
        <f>IF(AND('Mapa final'!$AA$38="Media",'Mapa final'!$AC$38="Catastrófico"),CONCATENATE("R5C",'Mapa final'!$Q$38),"")</f>
        <v/>
      </c>
      <c r="AN30" s="70"/>
      <c r="AO30" s="365"/>
      <c r="AP30" s="366"/>
      <c r="AQ30" s="366"/>
      <c r="AR30" s="366"/>
      <c r="AS30" s="366"/>
      <c r="AT30" s="367"/>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34"/>
      <c r="C31" s="234"/>
      <c r="D31" s="235"/>
      <c r="E31" s="335"/>
      <c r="F31" s="336"/>
      <c r="G31" s="336"/>
      <c r="H31" s="336"/>
      <c r="I31" s="351"/>
      <c r="J31" s="54" t="str">
        <f>IF(AND('Mapa final'!$AA$39="Media",'Mapa final'!$AC$39="Leve"),CONCATENATE("R6C",'Mapa final'!$Q$39),"")</f>
        <v/>
      </c>
      <c r="K31" s="55" t="str">
        <f>IF(AND('Mapa final'!$AA$40="Media",'Mapa final'!$AC$40="Leve"),CONCATENATE("R6C",'Mapa final'!$Q$40),"")</f>
        <v/>
      </c>
      <c r="L31" s="55" t="str">
        <f>IF(AND('Mapa final'!$AA$41="Media",'Mapa final'!$AC$41="Leve"),CONCATENATE("R6C",'Mapa final'!$Q$41),"")</f>
        <v/>
      </c>
      <c r="M31" s="55" t="str">
        <f>IF(AND('Mapa final'!$AA$42="Media",'Mapa final'!$AC$42="Leve"),CONCATENATE("R6C",'Mapa final'!$Q$42),"")</f>
        <v/>
      </c>
      <c r="N31" s="55" t="str">
        <f>IF(AND('Mapa final'!$AA$43="Media",'Mapa final'!$AC$43="Leve"),CONCATENATE("R6C",'Mapa final'!$Q$43),"")</f>
        <v/>
      </c>
      <c r="O31" s="56" t="str">
        <f>IF(AND('Mapa final'!$AA$44="Media",'Mapa final'!$AC$44="Leve"),CONCATENATE("R6C",'Mapa final'!$Q$44),"")</f>
        <v/>
      </c>
      <c r="P31" s="54" t="str">
        <f>IF(AND('Mapa final'!$AA$39="Media",'Mapa final'!$AC$39="Menor"),CONCATENATE("R6C",'Mapa final'!$Q$39),"")</f>
        <v/>
      </c>
      <c r="Q31" s="55" t="str">
        <f>IF(AND('Mapa final'!$AA$40="Media",'Mapa final'!$AC$40="Menor"),CONCATENATE("R6C",'Mapa final'!$Q$40),"")</f>
        <v/>
      </c>
      <c r="R31" s="55" t="str">
        <f>IF(AND('Mapa final'!$AA$41="Media",'Mapa final'!$AC$41="Menor"),CONCATENATE("R6C",'Mapa final'!$Q$41),"")</f>
        <v/>
      </c>
      <c r="S31" s="55" t="str">
        <f>IF(AND('Mapa final'!$AA$42="Media",'Mapa final'!$AC$42="Menor"),CONCATENATE("R6C",'Mapa final'!$Q$42),"")</f>
        <v/>
      </c>
      <c r="T31" s="55" t="str">
        <f>IF(AND('Mapa final'!$AA$43="Media",'Mapa final'!$AC$43="Menor"),CONCATENATE("R6C",'Mapa final'!$Q$43),"")</f>
        <v/>
      </c>
      <c r="U31" s="56" t="str">
        <f>IF(AND('Mapa final'!$AA$44="Media",'Mapa final'!$AC$44="Menor"),CONCATENATE("R6C",'Mapa final'!$Q$44),"")</f>
        <v/>
      </c>
      <c r="V31" s="54" t="str">
        <f>IF(AND('Mapa final'!$AA$39="Media",'Mapa final'!$AC$39="Moderado"),CONCATENATE("R6C",'Mapa final'!$Q$39),"")</f>
        <v/>
      </c>
      <c r="W31" s="55" t="str">
        <f>IF(AND('Mapa final'!$AA$40="Media",'Mapa final'!$AC$40="Moderado"),CONCATENATE("R6C",'Mapa final'!$Q$40),"")</f>
        <v/>
      </c>
      <c r="X31" s="55" t="str">
        <f>IF(AND('Mapa final'!$AA$41="Media",'Mapa final'!$AC$41="Moderado"),CONCATENATE("R6C",'Mapa final'!$Q$41),"")</f>
        <v/>
      </c>
      <c r="Y31" s="55" t="str">
        <f>IF(AND('Mapa final'!$AA$42="Media",'Mapa final'!$AC$42="Moderado"),CONCATENATE("R6C",'Mapa final'!$Q$42),"")</f>
        <v/>
      </c>
      <c r="Z31" s="55" t="str">
        <f>IF(AND('Mapa final'!$AA$43="Media",'Mapa final'!$AC$43="Moderado"),CONCATENATE("R6C",'Mapa final'!$Q$43),"")</f>
        <v/>
      </c>
      <c r="AA31" s="56" t="str">
        <f>IF(AND('Mapa final'!$AA$44="Media",'Mapa final'!$AC$44="Moderado"),CONCATENATE("R6C",'Mapa final'!$Q$44),"")</f>
        <v/>
      </c>
      <c r="AB31" s="38" t="str">
        <f>IF(AND('Mapa final'!$AA$39="Media",'Mapa final'!$AC$39="Mayor"),CONCATENATE("R6C",'Mapa final'!$Q$39),"")</f>
        <v/>
      </c>
      <c r="AC31" s="39" t="str">
        <f>IF(AND('Mapa final'!$AA$40="Media",'Mapa final'!$AC$40="Mayor"),CONCATENATE("R6C",'Mapa final'!$Q$40),"")</f>
        <v/>
      </c>
      <c r="AD31" s="44" t="str">
        <f>IF(AND('Mapa final'!$AA$41="Media",'Mapa final'!$AC$41="Mayor"),CONCATENATE("R6C",'Mapa final'!$Q$41),"")</f>
        <v/>
      </c>
      <c r="AE31" s="44" t="str">
        <f>IF(AND('Mapa final'!$AA$42="Media",'Mapa final'!$AC$42="Mayor"),CONCATENATE("R6C",'Mapa final'!$Q$42),"")</f>
        <v/>
      </c>
      <c r="AF31" s="44" t="str">
        <f>IF(AND('Mapa final'!$AA$43="Media",'Mapa final'!$AC$43="Mayor"),CONCATENATE("R6C",'Mapa final'!$Q$43),"")</f>
        <v/>
      </c>
      <c r="AG31" s="40" t="str">
        <f>IF(AND('Mapa final'!$AA$44="Media",'Mapa final'!$AC$44="Mayor"),CONCATENATE("R6C",'Mapa final'!$Q$44),"")</f>
        <v/>
      </c>
      <c r="AH31" s="41" t="str">
        <f>IF(AND('Mapa final'!$AA$39="Media",'Mapa final'!$AC$39="Catastrófico"),CONCATENATE("R6C",'Mapa final'!$Q$39),"")</f>
        <v/>
      </c>
      <c r="AI31" s="42" t="str">
        <f>IF(AND('Mapa final'!$AA$40="Media",'Mapa final'!$AC$40="Catastrófico"),CONCATENATE("R6C",'Mapa final'!$Q$40),"")</f>
        <v/>
      </c>
      <c r="AJ31" s="42" t="str">
        <f>IF(AND('Mapa final'!$AA$41="Media",'Mapa final'!$AC$41="Catastrófico"),CONCATENATE("R6C",'Mapa final'!$Q$41),"")</f>
        <v/>
      </c>
      <c r="AK31" s="42" t="str">
        <f>IF(AND('Mapa final'!$AA$42="Media",'Mapa final'!$AC$42="Catastrófico"),CONCATENATE("R6C",'Mapa final'!$Q$42),"")</f>
        <v/>
      </c>
      <c r="AL31" s="42" t="str">
        <f>IF(AND('Mapa final'!$AA$43="Media",'Mapa final'!$AC$43="Catastrófico"),CONCATENATE("R6C",'Mapa final'!$Q$43),"")</f>
        <v/>
      </c>
      <c r="AM31" s="43" t="str">
        <f>IF(AND('Mapa final'!$AA$44="Media",'Mapa final'!$AC$44="Catastrófico"),CONCATENATE("R6C",'Mapa final'!$Q$44),"")</f>
        <v/>
      </c>
      <c r="AN31" s="70"/>
      <c r="AO31" s="365"/>
      <c r="AP31" s="366"/>
      <c r="AQ31" s="366"/>
      <c r="AR31" s="366"/>
      <c r="AS31" s="366"/>
      <c r="AT31" s="367"/>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34"/>
      <c r="C32" s="234"/>
      <c r="D32" s="235"/>
      <c r="E32" s="335"/>
      <c r="F32" s="336"/>
      <c r="G32" s="336"/>
      <c r="H32" s="336"/>
      <c r="I32" s="351"/>
      <c r="J32" s="54" t="str">
        <f>IF(AND('Mapa final'!$AA$45="Media",'Mapa final'!$AC$45="Leve"),CONCATENATE("R7C",'Mapa final'!$Q$45),"")</f>
        <v/>
      </c>
      <c r="K32" s="55" t="str">
        <f>IF(AND('Mapa final'!$AA$46="Media",'Mapa final'!$AC$46="Leve"),CONCATENATE("R7C",'Mapa final'!$Q$46),"")</f>
        <v/>
      </c>
      <c r="L32" s="55" t="str">
        <f>IF(AND('Mapa final'!$AA$47="Media",'Mapa final'!$AC$47="Leve"),CONCATENATE("R7C",'Mapa final'!$Q$47),"")</f>
        <v/>
      </c>
      <c r="M32" s="55" t="str">
        <f>IF(AND('Mapa final'!$AA$48="Media",'Mapa final'!$AC$48="Leve"),CONCATENATE("R7C",'Mapa final'!$Q$48),"")</f>
        <v/>
      </c>
      <c r="N32" s="55" t="str">
        <f>IF(AND('Mapa final'!$AA$49="Media",'Mapa final'!$AC$49="Leve"),CONCATENATE("R7C",'Mapa final'!$Q$49),"")</f>
        <v/>
      </c>
      <c r="O32" s="56" t="str">
        <f>IF(AND('Mapa final'!$AA$50="Media",'Mapa final'!$AC$50="Leve"),CONCATENATE("R7C",'Mapa final'!$Q$50),"")</f>
        <v/>
      </c>
      <c r="P32" s="54" t="str">
        <f>IF(AND('Mapa final'!$AA$45="Media",'Mapa final'!$AC$45="Menor"),CONCATENATE("R7C",'Mapa final'!$Q$45),"")</f>
        <v/>
      </c>
      <c r="Q32" s="55" t="str">
        <f>IF(AND('Mapa final'!$AA$46="Media",'Mapa final'!$AC$46="Menor"),CONCATENATE("R7C",'Mapa final'!$Q$46),"")</f>
        <v/>
      </c>
      <c r="R32" s="55" t="str">
        <f>IF(AND('Mapa final'!$AA$47="Media",'Mapa final'!$AC$47="Menor"),CONCATENATE("R7C",'Mapa final'!$Q$47),"")</f>
        <v/>
      </c>
      <c r="S32" s="55" t="str">
        <f>IF(AND('Mapa final'!$AA$48="Media",'Mapa final'!$AC$48="Menor"),CONCATENATE("R7C",'Mapa final'!$Q$48),"")</f>
        <v/>
      </c>
      <c r="T32" s="55" t="str">
        <f>IF(AND('Mapa final'!$AA$49="Media",'Mapa final'!$AC$49="Menor"),CONCATENATE("R7C",'Mapa final'!$Q$49),"")</f>
        <v/>
      </c>
      <c r="U32" s="56" t="str">
        <f>IF(AND('Mapa final'!$AA$50="Media",'Mapa final'!$AC$50="Menor"),CONCATENATE("R7C",'Mapa final'!$Q$50),"")</f>
        <v/>
      </c>
      <c r="V32" s="54" t="str">
        <f>IF(AND('Mapa final'!$AA$45="Media",'Mapa final'!$AC$45="Moderado"),CONCATENATE("R7C",'Mapa final'!$Q$45),"")</f>
        <v/>
      </c>
      <c r="W32" s="55" t="str">
        <f>IF(AND('Mapa final'!$AA$46="Media",'Mapa final'!$AC$46="Moderado"),CONCATENATE("R7C",'Mapa final'!$Q$46),"")</f>
        <v/>
      </c>
      <c r="X32" s="55" t="str">
        <f>IF(AND('Mapa final'!$AA$47="Media",'Mapa final'!$AC$47="Moderado"),CONCATENATE("R7C",'Mapa final'!$Q$47),"")</f>
        <v/>
      </c>
      <c r="Y32" s="55" t="str">
        <f>IF(AND('Mapa final'!$AA$48="Media",'Mapa final'!$AC$48="Moderado"),CONCATENATE("R7C",'Mapa final'!$Q$48),"")</f>
        <v/>
      </c>
      <c r="Z32" s="55" t="str">
        <f>IF(AND('Mapa final'!$AA$49="Media",'Mapa final'!$AC$49="Moderado"),CONCATENATE("R7C",'Mapa final'!$Q$49),"")</f>
        <v/>
      </c>
      <c r="AA32" s="56" t="str">
        <f>IF(AND('Mapa final'!$AA$50="Media",'Mapa final'!$AC$50="Moderado"),CONCATENATE("R7C",'Mapa final'!$Q$50),"")</f>
        <v/>
      </c>
      <c r="AB32" s="38" t="str">
        <f>IF(AND('Mapa final'!$AA$45="Media",'Mapa final'!$AC$45="Mayor"),CONCATENATE("R7C",'Mapa final'!$Q$45),"")</f>
        <v/>
      </c>
      <c r="AC32" s="39" t="str">
        <f>IF(AND('Mapa final'!$AA$46="Media",'Mapa final'!$AC$46="Mayor"),CONCATENATE("R7C",'Mapa final'!$Q$46),"")</f>
        <v/>
      </c>
      <c r="AD32" s="44" t="str">
        <f>IF(AND('Mapa final'!$AA$47="Media",'Mapa final'!$AC$47="Mayor"),CONCATENATE("R7C",'Mapa final'!$Q$47),"")</f>
        <v/>
      </c>
      <c r="AE32" s="44" t="str">
        <f>IF(AND('Mapa final'!$AA$48="Media",'Mapa final'!$AC$48="Mayor"),CONCATENATE("R7C",'Mapa final'!$Q$48),"")</f>
        <v/>
      </c>
      <c r="AF32" s="44" t="str">
        <f>IF(AND('Mapa final'!$AA$49="Media",'Mapa final'!$AC$49="Mayor"),CONCATENATE("R7C",'Mapa final'!$Q$49),"")</f>
        <v/>
      </c>
      <c r="AG32" s="40" t="str">
        <f>IF(AND('Mapa final'!$AA$50="Media",'Mapa final'!$AC$50="Mayor"),CONCATENATE("R7C",'Mapa final'!$Q$50),"")</f>
        <v/>
      </c>
      <c r="AH32" s="41" t="str">
        <f>IF(AND('Mapa final'!$AA$45="Media",'Mapa final'!$AC$45="Catastrófico"),CONCATENATE("R7C",'Mapa final'!$Q$45),"")</f>
        <v/>
      </c>
      <c r="AI32" s="42" t="str">
        <f>IF(AND('Mapa final'!$AA$46="Media",'Mapa final'!$AC$46="Catastrófico"),CONCATENATE("R7C",'Mapa final'!$Q$46),"")</f>
        <v/>
      </c>
      <c r="AJ32" s="42" t="str">
        <f>IF(AND('Mapa final'!$AA$47="Media",'Mapa final'!$AC$47="Catastrófico"),CONCATENATE("R7C",'Mapa final'!$Q$47),"")</f>
        <v/>
      </c>
      <c r="AK32" s="42" t="str">
        <f>IF(AND('Mapa final'!$AA$48="Media",'Mapa final'!$AC$48="Catastrófico"),CONCATENATE("R7C",'Mapa final'!$Q$48),"")</f>
        <v/>
      </c>
      <c r="AL32" s="42" t="str">
        <f>IF(AND('Mapa final'!$AA$49="Media",'Mapa final'!$AC$49="Catastrófico"),CONCATENATE("R7C",'Mapa final'!$Q$49),"")</f>
        <v/>
      </c>
      <c r="AM32" s="43" t="str">
        <f>IF(AND('Mapa final'!$AA$50="Media",'Mapa final'!$AC$50="Catastrófico"),CONCATENATE("R7C",'Mapa final'!$Q$50),"")</f>
        <v/>
      </c>
      <c r="AN32" s="70"/>
      <c r="AO32" s="365"/>
      <c r="AP32" s="366"/>
      <c r="AQ32" s="366"/>
      <c r="AR32" s="366"/>
      <c r="AS32" s="366"/>
      <c r="AT32" s="367"/>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34"/>
      <c r="C33" s="234"/>
      <c r="D33" s="235"/>
      <c r="E33" s="335"/>
      <c r="F33" s="336"/>
      <c r="G33" s="336"/>
      <c r="H33" s="336"/>
      <c r="I33" s="351"/>
      <c r="J33" s="54" t="str">
        <f>IF(AND('Mapa final'!$AA$51="Media",'Mapa final'!$AC$51="Leve"),CONCATENATE("R8C",'Mapa final'!$Q$51),"")</f>
        <v/>
      </c>
      <c r="K33" s="55" t="str">
        <f>IF(AND('Mapa final'!$AA$52="Media",'Mapa final'!$AC$52="Leve"),CONCATENATE("R8C",'Mapa final'!$Q$52),"")</f>
        <v/>
      </c>
      <c r="L33" s="55" t="str">
        <f>IF(AND('Mapa final'!$AA$53="Media",'Mapa final'!$AC$53="Leve"),CONCATENATE("R8C",'Mapa final'!$Q$53),"")</f>
        <v/>
      </c>
      <c r="M33" s="55" t="str">
        <f>IF(AND('Mapa final'!$AA$54="Media",'Mapa final'!$AC$54="Leve"),CONCATENATE("R8C",'Mapa final'!$Q$54),"")</f>
        <v/>
      </c>
      <c r="N33" s="55" t="str">
        <f>IF(AND('Mapa final'!$AA$55="Media",'Mapa final'!$AC$55="Leve"),CONCATENATE("R8C",'Mapa final'!$Q$55),"")</f>
        <v/>
      </c>
      <c r="O33" s="56" t="str">
        <f>IF(AND('Mapa final'!$AA$56="Media",'Mapa final'!$AC$56="Leve"),CONCATENATE("R8C",'Mapa final'!$Q$56),"")</f>
        <v/>
      </c>
      <c r="P33" s="54" t="str">
        <f>IF(AND('Mapa final'!$AA$51="Media",'Mapa final'!$AC$51="Menor"),CONCATENATE("R8C",'Mapa final'!$Q$51),"")</f>
        <v/>
      </c>
      <c r="Q33" s="55" t="str">
        <f>IF(AND('Mapa final'!$AA$52="Media",'Mapa final'!$AC$52="Menor"),CONCATENATE("R8C",'Mapa final'!$Q$52),"")</f>
        <v/>
      </c>
      <c r="R33" s="55" t="str">
        <f>IF(AND('Mapa final'!$AA$53="Media",'Mapa final'!$AC$53="Menor"),CONCATENATE("R8C",'Mapa final'!$Q$53),"")</f>
        <v/>
      </c>
      <c r="S33" s="55" t="str">
        <f>IF(AND('Mapa final'!$AA$54="Media",'Mapa final'!$AC$54="Menor"),CONCATENATE("R8C",'Mapa final'!$Q$54),"")</f>
        <v/>
      </c>
      <c r="T33" s="55" t="str">
        <f>IF(AND('Mapa final'!$AA$55="Media",'Mapa final'!$AC$55="Menor"),CONCATENATE("R8C",'Mapa final'!$Q$55),"")</f>
        <v/>
      </c>
      <c r="U33" s="56" t="str">
        <f>IF(AND('Mapa final'!$AA$56="Media",'Mapa final'!$AC$56="Menor"),CONCATENATE("R8C",'Mapa final'!$Q$56),"")</f>
        <v/>
      </c>
      <c r="V33" s="54" t="str">
        <f>IF(AND('Mapa final'!$AA$51="Media",'Mapa final'!$AC$51="Moderado"),CONCATENATE("R8C",'Mapa final'!$Q$51),"")</f>
        <v/>
      </c>
      <c r="W33" s="55" t="str">
        <f>IF(AND('Mapa final'!$AA$52="Media",'Mapa final'!$AC$52="Moderado"),CONCATENATE("R8C",'Mapa final'!$Q$52),"")</f>
        <v/>
      </c>
      <c r="X33" s="55" t="str">
        <f>IF(AND('Mapa final'!$AA$53="Media",'Mapa final'!$AC$53="Moderado"),CONCATENATE("R8C",'Mapa final'!$Q$53),"")</f>
        <v/>
      </c>
      <c r="Y33" s="55" t="str">
        <f>IF(AND('Mapa final'!$AA$54="Media",'Mapa final'!$AC$54="Moderado"),CONCATENATE("R8C",'Mapa final'!$Q$54),"")</f>
        <v/>
      </c>
      <c r="Z33" s="55" t="str">
        <f>IF(AND('Mapa final'!$AA$55="Media",'Mapa final'!$AC$55="Moderado"),CONCATENATE("R8C",'Mapa final'!$Q$55),"")</f>
        <v/>
      </c>
      <c r="AA33" s="56" t="str">
        <f>IF(AND('Mapa final'!$AA$56="Media",'Mapa final'!$AC$56="Moderado"),CONCATENATE("R8C",'Mapa final'!$Q$56),"")</f>
        <v/>
      </c>
      <c r="AB33" s="38" t="str">
        <f>IF(AND('Mapa final'!$AA$51="Media",'Mapa final'!$AC$51="Mayor"),CONCATENATE("R8C",'Mapa final'!$Q$51),"")</f>
        <v/>
      </c>
      <c r="AC33" s="39" t="str">
        <f>IF(AND('Mapa final'!$AA$52="Media",'Mapa final'!$AC$52="Mayor"),CONCATENATE("R8C",'Mapa final'!$Q$52),"")</f>
        <v/>
      </c>
      <c r="AD33" s="44" t="str">
        <f>IF(AND('Mapa final'!$AA$53="Media",'Mapa final'!$AC$53="Mayor"),CONCATENATE("R8C",'Mapa final'!$Q$53),"")</f>
        <v/>
      </c>
      <c r="AE33" s="44" t="str">
        <f>IF(AND('Mapa final'!$AA$54="Media",'Mapa final'!$AC$54="Mayor"),CONCATENATE("R8C",'Mapa final'!$Q$54),"")</f>
        <v/>
      </c>
      <c r="AF33" s="44" t="str">
        <f>IF(AND('Mapa final'!$AA$55="Media",'Mapa final'!$AC$55="Mayor"),CONCATENATE("R8C",'Mapa final'!$Q$55),"")</f>
        <v/>
      </c>
      <c r="AG33" s="40" t="str">
        <f>IF(AND('Mapa final'!$AA$56="Media",'Mapa final'!$AC$56="Mayor"),CONCATENATE("R8C",'Mapa final'!$Q$56),"")</f>
        <v/>
      </c>
      <c r="AH33" s="41" t="str">
        <f>IF(AND('Mapa final'!$AA$51="Media",'Mapa final'!$AC$51="Catastrófico"),CONCATENATE("R8C",'Mapa final'!$Q$51),"")</f>
        <v/>
      </c>
      <c r="AI33" s="42" t="str">
        <f>IF(AND('Mapa final'!$AA$52="Media",'Mapa final'!$AC$52="Catastrófico"),CONCATENATE("R8C",'Mapa final'!$Q$52),"")</f>
        <v/>
      </c>
      <c r="AJ33" s="42" t="str">
        <f>IF(AND('Mapa final'!$AA$53="Media",'Mapa final'!$AC$53="Catastrófico"),CONCATENATE("R8C",'Mapa final'!$Q$53),"")</f>
        <v/>
      </c>
      <c r="AK33" s="42" t="str">
        <f>IF(AND('Mapa final'!$AA$54="Media",'Mapa final'!$AC$54="Catastrófico"),CONCATENATE("R8C",'Mapa final'!$Q$54),"")</f>
        <v/>
      </c>
      <c r="AL33" s="42" t="str">
        <f>IF(AND('Mapa final'!$AA$55="Media",'Mapa final'!$AC$55="Catastrófico"),CONCATENATE("R8C",'Mapa final'!$Q$55),"")</f>
        <v/>
      </c>
      <c r="AM33" s="43" t="str">
        <f>IF(AND('Mapa final'!$AA$56="Media",'Mapa final'!$AC$56="Catastrófico"),CONCATENATE("R8C",'Mapa final'!$Q$56),"")</f>
        <v/>
      </c>
      <c r="AN33" s="70"/>
      <c r="AO33" s="365"/>
      <c r="AP33" s="366"/>
      <c r="AQ33" s="366"/>
      <c r="AR33" s="366"/>
      <c r="AS33" s="366"/>
      <c r="AT33" s="367"/>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34"/>
      <c r="C34" s="234"/>
      <c r="D34" s="235"/>
      <c r="E34" s="335"/>
      <c r="F34" s="336"/>
      <c r="G34" s="336"/>
      <c r="H34" s="336"/>
      <c r="I34" s="351"/>
      <c r="J34" s="54" t="str">
        <f>IF(AND('Mapa final'!$AA$57="Media",'Mapa final'!$AC$57="Leve"),CONCATENATE("R9C",'Mapa final'!$Q$57),"")</f>
        <v/>
      </c>
      <c r="K34" s="55" t="str">
        <f>IF(AND('Mapa final'!$AA$58="Media",'Mapa final'!$AC$58="Leve"),CONCATENATE("R9C",'Mapa final'!$Q$58),"")</f>
        <v/>
      </c>
      <c r="L34" s="55" t="str">
        <f>IF(AND('Mapa final'!$AA$59="Media",'Mapa final'!$AC$59="Leve"),CONCATENATE("R9C",'Mapa final'!$Q$59),"")</f>
        <v/>
      </c>
      <c r="M34" s="55" t="str">
        <f>IF(AND('Mapa final'!$AA$60="Media",'Mapa final'!$AC$60="Leve"),CONCATENATE("R9C",'Mapa final'!$Q$60),"")</f>
        <v/>
      </c>
      <c r="N34" s="55" t="str">
        <f>IF(AND('Mapa final'!$AA$61="Media",'Mapa final'!$AC$61="Leve"),CONCATENATE("R9C",'Mapa final'!$Q$61),"")</f>
        <v/>
      </c>
      <c r="O34" s="56" t="str">
        <f>IF(AND('Mapa final'!$AA$62="Media",'Mapa final'!$AC$62="Leve"),CONCATENATE("R9C",'Mapa final'!$Q$62),"")</f>
        <v/>
      </c>
      <c r="P34" s="54" t="str">
        <f>IF(AND('Mapa final'!$AA$57="Media",'Mapa final'!$AC$57="Menor"),CONCATENATE("R9C",'Mapa final'!$Q$57),"")</f>
        <v/>
      </c>
      <c r="Q34" s="55" t="str">
        <f>IF(AND('Mapa final'!$AA$58="Media",'Mapa final'!$AC$58="Menor"),CONCATENATE("R9C",'Mapa final'!$Q$58),"")</f>
        <v/>
      </c>
      <c r="R34" s="55" t="str">
        <f>IF(AND('Mapa final'!$AA$59="Media",'Mapa final'!$AC$59="Menor"),CONCATENATE("R9C",'Mapa final'!$Q$59),"")</f>
        <v/>
      </c>
      <c r="S34" s="55" t="str">
        <f>IF(AND('Mapa final'!$AA$60="Media",'Mapa final'!$AC$60="Menor"),CONCATENATE("R9C",'Mapa final'!$Q$60),"")</f>
        <v/>
      </c>
      <c r="T34" s="55" t="str">
        <f>IF(AND('Mapa final'!$AA$61="Media",'Mapa final'!$AC$61="Menor"),CONCATENATE("R9C",'Mapa final'!$Q$61),"")</f>
        <v/>
      </c>
      <c r="U34" s="56" t="str">
        <f>IF(AND('Mapa final'!$AA$62="Media",'Mapa final'!$AC$62="Menor"),CONCATENATE("R9C",'Mapa final'!$Q$62),"")</f>
        <v/>
      </c>
      <c r="V34" s="54" t="str">
        <f>IF(AND('Mapa final'!$AA$57="Media",'Mapa final'!$AC$57="Moderado"),CONCATENATE("R9C",'Mapa final'!$Q$57),"")</f>
        <v/>
      </c>
      <c r="W34" s="55" t="str">
        <f>IF(AND('Mapa final'!$AA$58="Media",'Mapa final'!$AC$58="Moderado"),CONCATENATE("R9C",'Mapa final'!$Q$58),"")</f>
        <v/>
      </c>
      <c r="X34" s="55" t="str">
        <f>IF(AND('Mapa final'!$AA$59="Media",'Mapa final'!$AC$59="Moderado"),CONCATENATE("R9C",'Mapa final'!$Q$59),"")</f>
        <v/>
      </c>
      <c r="Y34" s="55" t="str">
        <f>IF(AND('Mapa final'!$AA$60="Media",'Mapa final'!$AC$60="Moderado"),CONCATENATE("R9C",'Mapa final'!$Q$60),"")</f>
        <v/>
      </c>
      <c r="Z34" s="55" t="str">
        <f>IF(AND('Mapa final'!$AA$61="Media",'Mapa final'!$AC$61="Moderado"),CONCATENATE("R9C",'Mapa final'!$Q$61),"")</f>
        <v/>
      </c>
      <c r="AA34" s="56" t="str">
        <f>IF(AND('Mapa final'!$AA$62="Media",'Mapa final'!$AC$62="Moderado"),CONCATENATE("R9C",'Mapa final'!$Q$62),"")</f>
        <v/>
      </c>
      <c r="AB34" s="38" t="str">
        <f>IF(AND('Mapa final'!$AA$57="Media",'Mapa final'!$AC$57="Mayor"),CONCATENATE("R9C",'Mapa final'!$Q$57),"")</f>
        <v/>
      </c>
      <c r="AC34" s="39" t="str">
        <f>IF(AND('Mapa final'!$AA$58="Media",'Mapa final'!$AC$58="Mayor"),CONCATENATE("R9C",'Mapa final'!$Q$58),"")</f>
        <v/>
      </c>
      <c r="AD34" s="44" t="str">
        <f>IF(AND('Mapa final'!$AA$59="Media",'Mapa final'!$AC$59="Mayor"),CONCATENATE("R9C",'Mapa final'!$Q$59),"")</f>
        <v/>
      </c>
      <c r="AE34" s="44" t="str">
        <f>IF(AND('Mapa final'!$AA$60="Media",'Mapa final'!$AC$60="Mayor"),CONCATENATE("R9C",'Mapa final'!$Q$60),"")</f>
        <v/>
      </c>
      <c r="AF34" s="44" t="str">
        <f>IF(AND('Mapa final'!$AA$61="Media",'Mapa final'!$AC$61="Mayor"),CONCATENATE("R9C",'Mapa final'!$Q$61),"")</f>
        <v/>
      </c>
      <c r="AG34" s="40" t="str">
        <f>IF(AND('Mapa final'!$AA$62="Media",'Mapa final'!$AC$62="Mayor"),CONCATENATE("R9C",'Mapa final'!$Q$62),"")</f>
        <v/>
      </c>
      <c r="AH34" s="41" t="str">
        <f>IF(AND('Mapa final'!$AA$57="Media",'Mapa final'!$AC$57="Catastrófico"),CONCATENATE("R9C",'Mapa final'!$Q$57),"")</f>
        <v/>
      </c>
      <c r="AI34" s="42" t="str">
        <f>IF(AND('Mapa final'!$AA$58="Media",'Mapa final'!$AC$58="Catastrófico"),CONCATENATE("R9C",'Mapa final'!$Q$58),"")</f>
        <v/>
      </c>
      <c r="AJ34" s="42" t="str">
        <f>IF(AND('Mapa final'!$AA$59="Media",'Mapa final'!$AC$59="Catastrófico"),CONCATENATE("R9C",'Mapa final'!$Q$59),"")</f>
        <v/>
      </c>
      <c r="AK34" s="42" t="str">
        <f>IF(AND('Mapa final'!$AA$60="Media",'Mapa final'!$AC$60="Catastrófico"),CONCATENATE("R9C",'Mapa final'!$Q$60),"")</f>
        <v/>
      </c>
      <c r="AL34" s="42" t="str">
        <f>IF(AND('Mapa final'!$AA$61="Media",'Mapa final'!$AC$61="Catastrófico"),CONCATENATE("R9C",'Mapa final'!$Q$61),"")</f>
        <v/>
      </c>
      <c r="AM34" s="43" t="str">
        <f>IF(AND('Mapa final'!$AA$62="Media",'Mapa final'!$AC$62="Catastrófico"),CONCATENATE("R9C",'Mapa final'!$Q$62),"")</f>
        <v/>
      </c>
      <c r="AN34" s="70"/>
      <c r="AO34" s="365"/>
      <c r="AP34" s="366"/>
      <c r="AQ34" s="366"/>
      <c r="AR34" s="366"/>
      <c r="AS34" s="366"/>
      <c r="AT34" s="367"/>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34"/>
      <c r="C35" s="234"/>
      <c r="D35" s="235"/>
      <c r="E35" s="337"/>
      <c r="F35" s="338"/>
      <c r="G35" s="338"/>
      <c r="H35" s="338"/>
      <c r="I35" s="352"/>
      <c r="J35" s="54" t="str">
        <f>IF(AND('Mapa final'!$AA$63="Media",'Mapa final'!$AC$63="Leve"),CONCATENATE("R10C",'Mapa final'!$Q$63),"")</f>
        <v/>
      </c>
      <c r="K35" s="55" t="str">
        <f>IF(AND('Mapa final'!$AA$64="Media",'Mapa final'!$AC$64="Leve"),CONCATENATE("R10C",'Mapa final'!$Q$64),"")</f>
        <v/>
      </c>
      <c r="L35" s="55" t="str">
        <f>IF(AND('Mapa final'!$AA$65="Media",'Mapa final'!$AC$65="Leve"),CONCATENATE("R10C",'Mapa final'!$Q$65),"")</f>
        <v/>
      </c>
      <c r="M35" s="55" t="str">
        <f>IF(AND('Mapa final'!$AA$66="Media",'Mapa final'!$AC$66="Leve"),CONCATENATE("R10C",'Mapa final'!$Q$66),"")</f>
        <v/>
      </c>
      <c r="N35" s="55" t="str">
        <f>IF(AND('Mapa final'!$AA$67="Media",'Mapa final'!$AC$67="Leve"),CONCATENATE("R10C",'Mapa final'!$Q$67),"")</f>
        <v/>
      </c>
      <c r="O35" s="56" t="str">
        <f>IF(AND('Mapa final'!$AA$68="Media",'Mapa final'!$AC$68="Leve"),CONCATENATE("R10C",'Mapa final'!$Q$68),"")</f>
        <v/>
      </c>
      <c r="P35" s="54" t="str">
        <f>IF(AND('Mapa final'!$AA$63="Media",'Mapa final'!$AC$63="Menor"),CONCATENATE("R10C",'Mapa final'!$Q$63),"")</f>
        <v/>
      </c>
      <c r="Q35" s="55" t="str">
        <f>IF(AND('Mapa final'!$AA$64="Media",'Mapa final'!$AC$64="Menor"),CONCATENATE("R10C",'Mapa final'!$Q$64),"")</f>
        <v/>
      </c>
      <c r="R35" s="55" t="str">
        <f>IF(AND('Mapa final'!$AA$65="Media",'Mapa final'!$AC$65="Menor"),CONCATENATE("R10C",'Mapa final'!$Q$65),"")</f>
        <v/>
      </c>
      <c r="S35" s="55" t="str">
        <f>IF(AND('Mapa final'!$AA$66="Media",'Mapa final'!$AC$66="Menor"),CONCATENATE("R10C",'Mapa final'!$Q$66),"")</f>
        <v/>
      </c>
      <c r="T35" s="55" t="str">
        <f>IF(AND('Mapa final'!$AA$67="Media",'Mapa final'!$AC$67="Menor"),CONCATENATE("R10C",'Mapa final'!$Q$67),"")</f>
        <v/>
      </c>
      <c r="U35" s="56" t="str">
        <f>IF(AND('Mapa final'!$AA$68="Media",'Mapa final'!$AC$68="Menor"),CONCATENATE("R10C",'Mapa final'!$Q$68),"")</f>
        <v/>
      </c>
      <c r="V35" s="54" t="str">
        <f>IF(AND('Mapa final'!$AA$63="Media",'Mapa final'!$AC$63="Moderado"),CONCATENATE("R10C",'Mapa final'!$Q$63),"")</f>
        <v/>
      </c>
      <c r="W35" s="55" t="str">
        <f>IF(AND('Mapa final'!$AA$64="Media",'Mapa final'!$AC$64="Moderado"),CONCATENATE("R10C",'Mapa final'!$Q$64),"")</f>
        <v/>
      </c>
      <c r="X35" s="55" t="str">
        <f>IF(AND('Mapa final'!$AA$65="Media",'Mapa final'!$AC$65="Moderado"),CONCATENATE("R10C",'Mapa final'!$Q$65),"")</f>
        <v/>
      </c>
      <c r="Y35" s="55" t="str">
        <f>IF(AND('Mapa final'!$AA$66="Media",'Mapa final'!$AC$66="Moderado"),CONCATENATE("R10C",'Mapa final'!$Q$66),"")</f>
        <v/>
      </c>
      <c r="Z35" s="55" t="str">
        <f>IF(AND('Mapa final'!$AA$67="Media",'Mapa final'!$AC$67="Moderado"),CONCATENATE("R10C",'Mapa final'!$Q$67),"")</f>
        <v/>
      </c>
      <c r="AA35" s="56" t="str">
        <f>IF(AND('Mapa final'!$AA$68="Media",'Mapa final'!$AC$68="Moderado"),CONCATENATE("R10C",'Mapa final'!$Q$68),"")</f>
        <v/>
      </c>
      <c r="AB35" s="45" t="str">
        <f>IF(AND('Mapa final'!$AA$63="Media",'Mapa final'!$AC$63="Mayor"),CONCATENATE("R10C",'Mapa final'!$Q$63),"")</f>
        <v/>
      </c>
      <c r="AC35" s="46" t="str">
        <f>IF(AND('Mapa final'!$AA$64="Media",'Mapa final'!$AC$64="Mayor"),CONCATENATE("R10C",'Mapa final'!$Q$64),"")</f>
        <v/>
      </c>
      <c r="AD35" s="46" t="str">
        <f>IF(AND('Mapa final'!$AA$65="Media",'Mapa final'!$AC$65="Mayor"),CONCATENATE("R10C",'Mapa final'!$Q$65),"")</f>
        <v/>
      </c>
      <c r="AE35" s="46" t="str">
        <f>IF(AND('Mapa final'!$AA$66="Media",'Mapa final'!$AC$66="Mayor"),CONCATENATE("R10C",'Mapa final'!$Q$66),"")</f>
        <v/>
      </c>
      <c r="AF35" s="46" t="str">
        <f>IF(AND('Mapa final'!$AA$67="Media",'Mapa final'!$AC$67="Mayor"),CONCATENATE("R10C",'Mapa final'!$Q$67),"")</f>
        <v/>
      </c>
      <c r="AG35" s="47" t="str">
        <f>IF(AND('Mapa final'!$AA$68="Media",'Mapa final'!$AC$68="Mayor"),CONCATENATE("R10C",'Mapa final'!$Q$68),"")</f>
        <v/>
      </c>
      <c r="AH35" s="48" t="str">
        <f>IF(AND('Mapa final'!$AA$63="Media",'Mapa final'!$AC$63="Catastrófico"),CONCATENATE("R10C",'Mapa final'!$Q$63),"")</f>
        <v/>
      </c>
      <c r="AI35" s="49" t="str">
        <f>IF(AND('Mapa final'!$AA$64="Media",'Mapa final'!$AC$64="Catastrófico"),CONCATENATE("R10C",'Mapa final'!$Q$64),"")</f>
        <v/>
      </c>
      <c r="AJ35" s="49" t="str">
        <f>IF(AND('Mapa final'!$AA$65="Media",'Mapa final'!$AC$65="Catastrófico"),CONCATENATE("R10C",'Mapa final'!$Q$65),"")</f>
        <v/>
      </c>
      <c r="AK35" s="49" t="str">
        <f>IF(AND('Mapa final'!$AA$66="Media",'Mapa final'!$AC$66="Catastrófico"),CONCATENATE("R10C",'Mapa final'!$Q$66),"")</f>
        <v/>
      </c>
      <c r="AL35" s="49" t="str">
        <f>IF(AND('Mapa final'!$AA$67="Media",'Mapa final'!$AC$67="Catastrófico"),CONCATENATE("R10C",'Mapa final'!$Q$67),"")</f>
        <v/>
      </c>
      <c r="AM35" s="50" t="str">
        <f>IF(AND('Mapa final'!$AA$68="Media",'Mapa final'!$AC$68="Catastrófico"),CONCATENATE("R10C",'Mapa final'!$Q$68),"")</f>
        <v/>
      </c>
      <c r="AN35" s="70"/>
      <c r="AO35" s="368"/>
      <c r="AP35" s="369"/>
      <c r="AQ35" s="369"/>
      <c r="AR35" s="369"/>
      <c r="AS35" s="369"/>
      <c r="AT35" s="3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34"/>
      <c r="C36" s="234"/>
      <c r="D36" s="235"/>
      <c r="E36" s="331" t="s">
        <v>110</v>
      </c>
      <c r="F36" s="332"/>
      <c r="G36" s="332"/>
      <c r="H36" s="332"/>
      <c r="I36" s="332"/>
      <c r="J36" s="60" t="str">
        <f ca="1">IF(AND('Mapa final'!$AA$9="Baja",'Mapa final'!$AC$9="Leve"),CONCATENATE("R1C",'Mapa final'!$Q$9),"")</f>
        <v/>
      </c>
      <c r="K36" s="61" t="str">
        <f ca="1">IF(AND('Mapa final'!$AA$10="Baja",'Mapa final'!$AC$10="Leve"),CONCATENATE("R1C",'Mapa final'!$Q$10),"")</f>
        <v/>
      </c>
      <c r="L36" s="61" t="str">
        <f>IF(AND('Mapa final'!$AA$11="Baja",'Mapa final'!$AC$11="Leve"),CONCATENATE("R1C",'Mapa final'!$Q$11),"")</f>
        <v/>
      </c>
      <c r="M36" s="61" t="str">
        <f>IF(AND('Mapa final'!$AA$12="Baja",'Mapa final'!$AC$12="Leve"),CONCATENATE("R1C",'Mapa final'!$Q$12),"")</f>
        <v/>
      </c>
      <c r="N36" s="61" t="str">
        <f>IF(AND('Mapa final'!$AA$13="Baja",'Mapa final'!$AC$13="Leve"),CONCATENATE("R1C",'Mapa final'!$Q$13),"")</f>
        <v/>
      </c>
      <c r="O36" s="62" t="str">
        <f>IF(AND('Mapa final'!$AA$14="Baja",'Mapa final'!$AC$14="Leve"),CONCATENATE("R1C",'Mapa final'!$Q$14),"")</f>
        <v/>
      </c>
      <c r="P36" s="51" t="str">
        <f ca="1">IF(AND('Mapa final'!$AA$9="Baja",'Mapa final'!$AC$9="Menor"),CONCATENATE("R1C",'Mapa final'!$Q$9),"")</f>
        <v/>
      </c>
      <c r="Q36" s="52" t="str">
        <f ca="1">IF(AND('Mapa final'!$AA$10="Baja",'Mapa final'!$AC$10="Menor"),CONCATENATE("R1C",'Mapa final'!$Q$10),"")</f>
        <v/>
      </c>
      <c r="R36" s="52" t="str">
        <f>IF(AND('Mapa final'!$AA$11="Baja",'Mapa final'!$AC$11="Menor"),CONCATENATE("R1C",'Mapa final'!$Q$11),"")</f>
        <v/>
      </c>
      <c r="S36" s="52" t="str">
        <f>IF(AND('Mapa final'!$AA$12="Baja",'Mapa final'!$AC$12="Menor"),CONCATENATE("R1C",'Mapa final'!$Q$12),"")</f>
        <v/>
      </c>
      <c r="T36" s="52" t="str">
        <f>IF(AND('Mapa final'!$AA$13="Baja",'Mapa final'!$AC$13="Menor"),CONCATENATE("R1C",'Mapa final'!$Q$13),"")</f>
        <v/>
      </c>
      <c r="U36" s="53" t="str">
        <f>IF(AND('Mapa final'!$AA$14="Baja",'Mapa final'!$AC$14="Menor"),CONCATENATE("R1C",'Mapa final'!$Q$14),"")</f>
        <v/>
      </c>
      <c r="V36" s="51" t="str">
        <f ca="1">IF(AND('Mapa final'!$AA$9="Baja",'Mapa final'!$AC$9="Moderado"),CONCATENATE("R1C",'Mapa final'!$Q$9),"")</f>
        <v/>
      </c>
      <c r="W36" s="52" t="str">
        <f ca="1">IF(AND('Mapa final'!$AA$10="Baja",'Mapa final'!$AC$10="Moderado"),CONCATENATE("R1C",'Mapa final'!$Q$10),"")</f>
        <v>R1C2</v>
      </c>
      <c r="X36" s="52" t="str">
        <f>IF(AND('Mapa final'!$AA$11="Baja",'Mapa final'!$AC$11="Moderado"),CONCATENATE("R1C",'Mapa final'!$Q$11),"")</f>
        <v/>
      </c>
      <c r="Y36" s="52" t="str">
        <f>IF(AND('Mapa final'!$AA$12="Baja",'Mapa final'!$AC$12="Moderado"),CONCATENATE("R1C",'Mapa final'!$Q$12),"")</f>
        <v/>
      </c>
      <c r="Z36" s="52" t="str">
        <f>IF(AND('Mapa final'!$AA$13="Baja",'Mapa final'!$AC$13="Moderado"),CONCATENATE("R1C",'Mapa final'!$Q$13),"")</f>
        <v/>
      </c>
      <c r="AA36" s="53" t="str">
        <f>IF(AND('Mapa final'!$AA$14="Baja",'Mapa final'!$AC$14="Moderado"),CONCATENATE("R1C",'Mapa final'!$Q$14),"")</f>
        <v/>
      </c>
      <c r="AB36" s="32" t="str">
        <f ca="1">IF(AND('Mapa final'!$AA$9="Baja",'Mapa final'!$AC$9="Mayor"),CONCATENATE("R1C",'Mapa final'!$Q$9),"")</f>
        <v/>
      </c>
      <c r="AC36" s="33" t="str">
        <f ca="1">IF(AND('Mapa final'!$AA$10="Baja",'Mapa final'!$AC$10="Mayor"),CONCATENATE("R1C",'Mapa final'!$Q$10),"")</f>
        <v/>
      </c>
      <c r="AD36" s="33" t="str">
        <f>IF(AND('Mapa final'!$AA$11="Baja",'Mapa final'!$AC$11="Mayor"),CONCATENATE("R1C",'Mapa final'!$Q$11),"")</f>
        <v/>
      </c>
      <c r="AE36" s="33" t="str">
        <f>IF(AND('Mapa final'!$AA$12="Baja",'Mapa final'!$AC$12="Mayor"),CONCATENATE("R1C",'Mapa final'!$Q$12),"")</f>
        <v/>
      </c>
      <c r="AF36" s="33" t="str">
        <f>IF(AND('Mapa final'!$AA$13="Baja",'Mapa final'!$AC$13="Mayor"),CONCATENATE("R1C",'Mapa final'!$Q$13),"")</f>
        <v/>
      </c>
      <c r="AG36" s="34" t="str">
        <f>IF(AND('Mapa final'!$AA$14="Baja",'Mapa final'!$AC$14="Mayor"),CONCATENATE("R1C",'Mapa final'!$Q$14),"")</f>
        <v/>
      </c>
      <c r="AH36" s="35" t="str">
        <f ca="1">IF(AND('Mapa final'!$AA$9="Baja",'Mapa final'!$AC$9="Catastrófico"),CONCATENATE("R1C",'Mapa final'!$Q$9),"")</f>
        <v/>
      </c>
      <c r="AI36" s="36" t="str">
        <f ca="1">IF(AND('Mapa final'!$AA$10="Baja",'Mapa final'!$AC$10="Catastrófico"),CONCATENATE("R1C",'Mapa final'!$Q$10),"")</f>
        <v/>
      </c>
      <c r="AJ36" s="36" t="str">
        <f>IF(AND('Mapa final'!$AA$11="Baja",'Mapa final'!$AC$11="Catastrófico"),CONCATENATE("R1C",'Mapa final'!$Q$11),"")</f>
        <v/>
      </c>
      <c r="AK36" s="36" t="str">
        <f>IF(AND('Mapa final'!$AA$12="Baja",'Mapa final'!$AC$12="Catastrófico"),CONCATENATE("R1C",'Mapa final'!$Q$12),"")</f>
        <v/>
      </c>
      <c r="AL36" s="36" t="str">
        <f>IF(AND('Mapa final'!$AA$13="Baja",'Mapa final'!$AC$13="Catastrófico"),CONCATENATE("R1C",'Mapa final'!$Q$13),"")</f>
        <v/>
      </c>
      <c r="AM36" s="37" t="str">
        <f>IF(AND('Mapa final'!$AA$14="Baja",'Mapa final'!$AC$14="Catastrófico"),CONCATENATE("R1C",'Mapa final'!$Q$14),"")</f>
        <v/>
      </c>
      <c r="AN36" s="70"/>
      <c r="AO36" s="353" t="s">
        <v>78</v>
      </c>
      <c r="AP36" s="354"/>
      <c r="AQ36" s="354"/>
      <c r="AR36" s="354"/>
      <c r="AS36" s="354"/>
      <c r="AT36" s="355"/>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34"/>
      <c r="C37" s="234"/>
      <c r="D37" s="235"/>
      <c r="E37" s="333"/>
      <c r="F37" s="334"/>
      <c r="G37" s="334"/>
      <c r="H37" s="334"/>
      <c r="I37" s="334"/>
      <c r="J37" s="63" t="str">
        <f ca="1">IF(AND('Mapa final'!$AA$15="Baja",'Mapa final'!$AC$15="Leve"),CONCATENATE("R2C",'Mapa final'!$Q$15),"")</f>
        <v/>
      </c>
      <c r="K37" s="64" t="str">
        <f ca="1">IF(AND('Mapa final'!$AA$16="Baja",'Mapa final'!$AC$16="Leve"),CONCATENATE("R2C",'Mapa final'!$Q$16),"")</f>
        <v/>
      </c>
      <c r="L37" s="64" t="str">
        <f>IF(AND('Mapa final'!$AA$17="Baja",'Mapa final'!$AC$17="Leve"),CONCATENATE("R2C",'Mapa final'!$Q$17),"")</f>
        <v/>
      </c>
      <c r="M37" s="64" t="str">
        <f>IF(AND('Mapa final'!$AA$18="Baja",'Mapa final'!$AC$18="Leve"),CONCATENATE("R2C",'Mapa final'!$Q$18),"")</f>
        <v/>
      </c>
      <c r="N37" s="64" t="str">
        <f>IF(AND('Mapa final'!$AA$19="Baja",'Mapa final'!$AC$19="Leve"),CONCATENATE("R2C",'Mapa final'!$Q$19),"")</f>
        <v/>
      </c>
      <c r="O37" s="65" t="str">
        <f>IF(AND('Mapa final'!$AA$20="Baja",'Mapa final'!$AC$20="Leve"),CONCATENATE("R2C",'Mapa final'!$Q$20),"")</f>
        <v/>
      </c>
      <c r="P37" s="54" t="str">
        <f ca="1">IF(AND('Mapa final'!$AA$15="Baja",'Mapa final'!$AC$15="Menor"),CONCATENATE("R2C",'Mapa final'!$Q$15),"")</f>
        <v/>
      </c>
      <c r="Q37" s="55" t="str">
        <f ca="1">IF(AND('Mapa final'!$AA$16="Baja",'Mapa final'!$AC$16="Menor"),CONCATENATE("R2C",'Mapa final'!$Q$16),"")</f>
        <v/>
      </c>
      <c r="R37" s="55" t="str">
        <f>IF(AND('Mapa final'!$AA$17="Baja",'Mapa final'!$AC$17="Menor"),CONCATENATE("R2C",'Mapa final'!$Q$17),"")</f>
        <v/>
      </c>
      <c r="S37" s="55" t="str">
        <f>IF(AND('Mapa final'!$AA$18="Baja",'Mapa final'!$AC$18="Menor"),CONCATENATE("R2C",'Mapa final'!$Q$18),"")</f>
        <v/>
      </c>
      <c r="T37" s="55" t="str">
        <f>IF(AND('Mapa final'!$AA$19="Baja",'Mapa final'!$AC$19="Menor"),CONCATENATE("R2C",'Mapa final'!$Q$19),"")</f>
        <v/>
      </c>
      <c r="U37" s="56" t="str">
        <f>IF(AND('Mapa final'!$AA$20="Baja",'Mapa final'!$AC$20="Menor"),CONCATENATE("R2C",'Mapa final'!$Q$20),"")</f>
        <v/>
      </c>
      <c r="V37" s="54" t="str">
        <f ca="1">IF(AND('Mapa final'!$AA$15="Baja",'Mapa final'!$AC$15="Moderado"),CONCATENATE("R2C",'Mapa final'!$Q$15),"")</f>
        <v/>
      </c>
      <c r="W37" s="55" t="str">
        <f ca="1">IF(AND('Mapa final'!$AA$16="Baja",'Mapa final'!$AC$16="Moderado"),CONCATENATE("R2C",'Mapa final'!$Q$16),"")</f>
        <v>R2C2</v>
      </c>
      <c r="X37" s="55" t="str">
        <f>IF(AND('Mapa final'!$AA$17="Baja",'Mapa final'!$AC$17="Moderado"),CONCATENATE("R2C",'Mapa final'!$Q$17),"")</f>
        <v/>
      </c>
      <c r="Y37" s="55" t="str">
        <f>IF(AND('Mapa final'!$AA$18="Baja",'Mapa final'!$AC$18="Moderado"),CONCATENATE("R2C",'Mapa final'!$Q$18),"")</f>
        <v/>
      </c>
      <c r="Z37" s="55" t="str">
        <f>IF(AND('Mapa final'!$AA$19="Baja",'Mapa final'!$AC$19="Moderado"),CONCATENATE("R2C",'Mapa final'!$Q$19),"")</f>
        <v/>
      </c>
      <c r="AA37" s="56" t="str">
        <f>IF(AND('Mapa final'!$AA$20="Baja",'Mapa final'!$AC$20="Moderado"),CONCATENATE("R2C",'Mapa final'!$Q$20),"")</f>
        <v/>
      </c>
      <c r="AB37" s="38" t="str">
        <f ca="1">IF(AND('Mapa final'!$AA$15="Baja",'Mapa final'!$AC$15="Mayor"),CONCATENATE("R2C",'Mapa final'!$Q$15),"")</f>
        <v>R2C1</v>
      </c>
      <c r="AC37" s="39" t="str">
        <f ca="1">IF(AND('Mapa final'!$AA$16="Baja",'Mapa final'!$AC$16="Mayor"),CONCATENATE("R2C",'Mapa final'!$Q$16),"")</f>
        <v/>
      </c>
      <c r="AD37" s="39" t="str">
        <f>IF(AND('Mapa final'!$AA$17="Baja",'Mapa final'!$AC$17="Mayor"),CONCATENATE("R2C",'Mapa final'!$Q$17),"")</f>
        <v/>
      </c>
      <c r="AE37" s="39" t="str">
        <f>IF(AND('Mapa final'!$AA$18="Baja",'Mapa final'!$AC$18="Mayor"),CONCATENATE("R2C",'Mapa final'!$Q$18),"")</f>
        <v/>
      </c>
      <c r="AF37" s="39" t="str">
        <f>IF(AND('Mapa final'!$AA$19="Baja",'Mapa final'!$AC$19="Mayor"),CONCATENATE("R2C",'Mapa final'!$Q$19),"")</f>
        <v/>
      </c>
      <c r="AG37" s="40" t="str">
        <f>IF(AND('Mapa final'!$AA$20="Baja",'Mapa final'!$AC$20="Mayor"),CONCATENATE("R2C",'Mapa final'!$Q$20),"")</f>
        <v/>
      </c>
      <c r="AH37" s="41" t="str">
        <f ca="1">IF(AND('Mapa final'!$AA$15="Baja",'Mapa final'!$AC$15="Catastrófico"),CONCATENATE("R2C",'Mapa final'!$Q$15),"")</f>
        <v/>
      </c>
      <c r="AI37" s="42" t="str">
        <f ca="1">IF(AND('Mapa final'!$AA$16="Baja",'Mapa final'!$AC$16="Catastrófico"),CONCATENATE("R2C",'Mapa final'!$Q$16),"")</f>
        <v/>
      </c>
      <c r="AJ37" s="42" t="str">
        <f>IF(AND('Mapa final'!$AA$17="Baja",'Mapa final'!$AC$17="Catastrófico"),CONCATENATE("R2C",'Mapa final'!$Q$17),"")</f>
        <v/>
      </c>
      <c r="AK37" s="42" t="str">
        <f>IF(AND('Mapa final'!$AA$18="Baja",'Mapa final'!$AC$18="Catastrófico"),CONCATENATE("R2C",'Mapa final'!$Q$18),"")</f>
        <v/>
      </c>
      <c r="AL37" s="42" t="str">
        <f>IF(AND('Mapa final'!$AA$19="Baja",'Mapa final'!$AC$19="Catastrófico"),CONCATENATE("R2C",'Mapa final'!$Q$19),"")</f>
        <v/>
      </c>
      <c r="AM37" s="43" t="str">
        <f>IF(AND('Mapa final'!$AA$20="Baja",'Mapa final'!$AC$20="Catastrófico"),CONCATENATE("R2C",'Mapa final'!$Q$20),"")</f>
        <v/>
      </c>
      <c r="AN37" s="70"/>
      <c r="AO37" s="356"/>
      <c r="AP37" s="357"/>
      <c r="AQ37" s="357"/>
      <c r="AR37" s="357"/>
      <c r="AS37" s="357"/>
      <c r="AT37" s="358"/>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34"/>
      <c r="C38" s="234"/>
      <c r="D38" s="235"/>
      <c r="E38" s="335"/>
      <c r="F38" s="336"/>
      <c r="G38" s="336"/>
      <c r="H38" s="336"/>
      <c r="I38" s="334"/>
      <c r="J38" s="63" t="str">
        <f ca="1">IF(AND('Mapa final'!$AA$21="Baja",'Mapa final'!$AC$21="Leve"),CONCATENATE("R3C",'Mapa final'!$Q$21),"")</f>
        <v/>
      </c>
      <c r="K38" s="64" t="str">
        <f>IF(AND('Mapa final'!$AA$22="Baja",'Mapa final'!$AC$22="Leve"),CONCATENATE("R3C",'Mapa final'!$Q$22),"")</f>
        <v/>
      </c>
      <c r="L38" s="64" t="str">
        <f>IF(AND('Mapa final'!$AA$23="Baja",'Mapa final'!$AC$23="Leve"),CONCATENATE("R3C",'Mapa final'!$Q$23),"")</f>
        <v/>
      </c>
      <c r="M38" s="64" t="str">
        <f>IF(AND('Mapa final'!$AA$24="Baja",'Mapa final'!$AC$24="Leve"),CONCATENATE("R3C",'Mapa final'!$Q$24),"")</f>
        <v/>
      </c>
      <c r="N38" s="64" t="str">
        <f>IF(AND('Mapa final'!$AA$25="Baja",'Mapa final'!$AC$25="Leve"),CONCATENATE("R3C",'Mapa final'!$Q$25),"")</f>
        <v/>
      </c>
      <c r="O38" s="65" t="str">
        <f>IF(AND('Mapa final'!$AA$26="Baja",'Mapa final'!$AC$26="Leve"),CONCATENATE("R3C",'Mapa final'!$Q$26),"")</f>
        <v/>
      </c>
      <c r="P38" s="54" t="str">
        <f ca="1">IF(AND('Mapa final'!$AA$21="Baja",'Mapa final'!$AC$21="Menor"),CONCATENATE("R3C",'Mapa final'!$Q$21),"")</f>
        <v>R3C1</v>
      </c>
      <c r="Q38" s="55" t="str">
        <f>IF(AND('Mapa final'!$AA$22="Baja",'Mapa final'!$AC$22="Menor"),CONCATENATE("R3C",'Mapa final'!$Q$22),"")</f>
        <v/>
      </c>
      <c r="R38" s="55" t="str">
        <f>IF(AND('Mapa final'!$AA$23="Baja",'Mapa final'!$AC$23="Menor"),CONCATENATE("R3C",'Mapa final'!$Q$23),"")</f>
        <v/>
      </c>
      <c r="S38" s="55" t="str">
        <f>IF(AND('Mapa final'!$AA$24="Baja",'Mapa final'!$AC$24="Menor"),CONCATENATE("R3C",'Mapa final'!$Q$24),"")</f>
        <v/>
      </c>
      <c r="T38" s="55" t="str">
        <f>IF(AND('Mapa final'!$AA$25="Baja",'Mapa final'!$AC$25="Menor"),CONCATENATE("R3C",'Mapa final'!$Q$25),"")</f>
        <v/>
      </c>
      <c r="U38" s="56" t="str">
        <f>IF(AND('Mapa final'!$AA$26="Baja",'Mapa final'!$AC$26="Menor"),CONCATENATE("R3C",'Mapa final'!$Q$26),"")</f>
        <v/>
      </c>
      <c r="V38" s="54" t="str">
        <f ca="1">IF(AND('Mapa final'!$AA$21="Baja",'Mapa final'!$AC$21="Moderado"),CONCATENATE("R3C",'Mapa final'!$Q$21),"")</f>
        <v/>
      </c>
      <c r="W38" s="55" t="str">
        <f>IF(AND('Mapa final'!$AA$22="Baja",'Mapa final'!$AC$22="Moderado"),CONCATENATE("R3C",'Mapa final'!$Q$22),"")</f>
        <v/>
      </c>
      <c r="X38" s="55" t="str">
        <f>IF(AND('Mapa final'!$AA$23="Baja",'Mapa final'!$AC$23="Moderado"),CONCATENATE("R3C",'Mapa final'!$Q$23),"")</f>
        <v/>
      </c>
      <c r="Y38" s="55" t="str">
        <f>IF(AND('Mapa final'!$AA$24="Baja",'Mapa final'!$AC$24="Moderado"),CONCATENATE("R3C",'Mapa final'!$Q$24),"")</f>
        <v/>
      </c>
      <c r="Z38" s="55" t="str">
        <f>IF(AND('Mapa final'!$AA$25="Baja",'Mapa final'!$AC$25="Moderado"),CONCATENATE("R3C",'Mapa final'!$Q$25),"")</f>
        <v/>
      </c>
      <c r="AA38" s="56" t="str">
        <f>IF(AND('Mapa final'!$AA$26="Baja",'Mapa final'!$AC$26="Moderado"),CONCATENATE("R3C",'Mapa final'!$Q$26),"")</f>
        <v/>
      </c>
      <c r="AB38" s="38" t="str">
        <f ca="1">IF(AND('Mapa final'!$AA$21="Baja",'Mapa final'!$AC$21="Mayor"),CONCATENATE("R3C",'Mapa final'!$Q$21),"")</f>
        <v/>
      </c>
      <c r="AC38" s="39" t="str">
        <f>IF(AND('Mapa final'!$AA$22="Baja",'Mapa final'!$AC$22="Mayor"),CONCATENATE("R3C",'Mapa final'!$Q$22),"")</f>
        <v/>
      </c>
      <c r="AD38" s="39" t="str">
        <f>IF(AND('Mapa final'!$AA$23="Baja",'Mapa final'!$AC$23="Mayor"),CONCATENATE("R3C",'Mapa final'!$Q$23),"")</f>
        <v/>
      </c>
      <c r="AE38" s="39" t="str">
        <f>IF(AND('Mapa final'!$AA$24="Baja",'Mapa final'!$AC$24="Mayor"),CONCATENATE("R3C",'Mapa final'!$Q$24),"")</f>
        <v/>
      </c>
      <c r="AF38" s="39" t="str">
        <f>IF(AND('Mapa final'!$AA$25="Baja",'Mapa final'!$AC$25="Mayor"),CONCATENATE("R3C",'Mapa final'!$Q$25),"")</f>
        <v/>
      </c>
      <c r="AG38" s="40" t="str">
        <f>IF(AND('Mapa final'!$AA$26="Baja",'Mapa final'!$AC$26="Mayor"),CONCATENATE("R3C",'Mapa final'!$Q$26),"")</f>
        <v/>
      </c>
      <c r="AH38" s="41" t="str">
        <f ca="1">IF(AND('Mapa final'!$AA$21="Baja",'Mapa final'!$AC$21="Catastrófico"),CONCATENATE("R3C",'Mapa final'!$Q$21),"")</f>
        <v/>
      </c>
      <c r="AI38" s="42" t="str">
        <f>IF(AND('Mapa final'!$AA$22="Baja",'Mapa final'!$AC$22="Catastrófico"),CONCATENATE("R3C",'Mapa final'!$Q$22),"")</f>
        <v/>
      </c>
      <c r="AJ38" s="42" t="str">
        <f>IF(AND('Mapa final'!$AA$23="Baja",'Mapa final'!$AC$23="Catastrófico"),CONCATENATE("R3C",'Mapa final'!$Q$23),"")</f>
        <v/>
      </c>
      <c r="AK38" s="42" t="str">
        <f>IF(AND('Mapa final'!$AA$24="Baja",'Mapa final'!$AC$24="Catastrófico"),CONCATENATE("R3C",'Mapa final'!$Q$24),"")</f>
        <v/>
      </c>
      <c r="AL38" s="42" t="str">
        <f>IF(AND('Mapa final'!$AA$25="Baja",'Mapa final'!$AC$25="Catastrófico"),CONCATENATE("R3C",'Mapa final'!$Q$25),"")</f>
        <v/>
      </c>
      <c r="AM38" s="43" t="str">
        <f>IF(AND('Mapa final'!$AA$26="Baja",'Mapa final'!$AC$26="Catastrófico"),CONCATENATE("R3C",'Mapa final'!$Q$26),"")</f>
        <v/>
      </c>
      <c r="AN38" s="70"/>
      <c r="AO38" s="356"/>
      <c r="AP38" s="357"/>
      <c r="AQ38" s="357"/>
      <c r="AR38" s="357"/>
      <c r="AS38" s="357"/>
      <c r="AT38" s="358"/>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34"/>
      <c r="C39" s="234"/>
      <c r="D39" s="235"/>
      <c r="E39" s="335"/>
      <c r="F39" s="336"/>
      <c r="G39" s="336"/>
      <c r="H39" s="336"/>
      <c r="I39" s="334"/>
      <c r="J39" s="63" t="str">
        <f ca="1">IF(AND('Mapa final'!$AA$27="Baja",'Mapa final'!$AC$27="Leve"),CONCATENATE("R4C",'Mapa final'!$Q$27),"")</f>
        <v/>
      </c>
      <c r="K39" s="64" t="str">
        <f ca="1">IF(AND('Mapa final'!$AA$28="Baja",'Mapa final'!$AC$28="Leve"),CONCATENATE("R4C",'Mapa final'!$Q$28),"")</f>
        <v/>
      </c>
      <c r="L39" s="64" t="str">
        <f ca="1">IF(AND('Mapa final'!$AA$29="Baja",'Mapa final'!$AC$29="Leve"),CONCATENATE("R4C",'Mapa final'!$Q$29),"")</f>
        <v/>
      </c>
      <c r="M39" s="64" t="str">
        <f>IF(AND('Mapa final'!$AA$30="Baja",'Mapa final'!$AC$30="Leve"),CONCATENATE("R4C",'Mapa final'!$Q$30),"")</f>
        <v/>
      </c>
      <c r="N39" s="64" t="str">
        <f>IF(AND('Mapa final'!$AA$31="Baja",'Mapa final'!$AC$31="Leve"),CONCATENATE("R4C",'Mapa final'!$Q$31),"")</f>
        <v/>
      </c>
      <c r="O39" s="65" t="str">
        <f>IF(AND('Mapa final'!$AA$32="Baja",'Mapa final'!$AC$32="Leve"),CONCATENATE("R4C",'Mapa final'!$Q$32),"")</f>
        <v/>
      </c>
      <c r="P39" s="54" t="str">
        <f ca="1">IF(AND('Mapa final'!$AA$27="Baja",'Mapa final'!$AC$27="Menor"),CONCATENATE("R4C",'Mapa final'!$Q$27),"")</f>
        <v/>
      </c>
      <c r="Q39" s="55" t="str">
        <f ca="1">IF(AND('Mapa final'!$AA$28="Baja",'Mapa final'!$AC$28="Menor"),CONCATENATE("R4C",'Mapa final'!$Q$28),"")</f>
        <v/>
      </c>
      <c r="R39" s="55" t="str">
        <f ca="1">IF(AND('Mapa final'!$AA$29="Baja",'Mapa final'!$AC$29="Menor"),CONCATENATE("R4C",'Mapa final'!$Q$29),"")</f>
        <v/>
      </c>
      <c r="S39" s="55" t="str">
        <f>IF(AND('Mapa final'!$AA$30="Baja",'Mapa final'!$AC$30="Menor"),CONCATENATE("R4C",'Mapa final'!$Q$30),"")</f>
        <v/>
      </c>
      <c r="T39" s="55" t="str">
        <f>IF(AND('Mapa final'!$AA$31="Baja",'Mapa final'!$AC$31="Menor"),CONCATENATE("R4C",'Mapa final'!$Q$31),"")</f>
        <v/>
      </c>
      <c r="U39" s="56" t="str">
        <f>IF(AND('Mapa final'!$AA$32="Baja",'Mapa final'!$AC$32="Menor"),CONCATENATE("R4C",'Mapa final'!$Q$32),"")</f>
        <v/>
      </c>
      <c r="V39" s="54" t="str">
        <f ca="1">IF(AND('Mapa final'!$AA$27="Baja",'Mapa final'!$AC$27="Moderado"),CONCATENATE("R4C",'Mapa final'!$Q$27),"")</f>
        <v/>
      </c>
      <c r="W39" s="55" t="str">
        <f ca="1">IF(AND('Mapa final'!$AA$28="Baja",'Mapa final'!$AC$28="Moderado"),CONCATENATE("R4C",'Mapa final'!$Q$28),"")</f>
        <v/>
      </c>
      <c r="X39" s="55" t="str">
        <f ca="1">IF(AND('Mapa final'!$AA$29="Baja",'Mapa final'!$AC$29="Moderado"),CONCATENATE("R4C",'Mapa final'!$Q$29),"")</f>
        <v/>
      </c>
      <c r="Y39" s="55" t="str">
        <f>IF(AND('Mapa final'!$AA$30="Baja",'Mapa final'!$AC$30="Moderado"),CONCATENATE("R4C",'Mapa final'!$Q$30),"")</f>
        <v/>
      </c>
      <c r="Z39" s="55" t="str">
        <f>IF(AND('Mapa final'!$AA$31="Baja",'Mapa final'!$AC$31="Moderado"),CONCATENATE("R4C",'Mapa final'!$Q$31),"")</f>
        <v/>
      </c>
      <c r="AA39" s="56" t="str">
        <f>IF(AND('Mapa final'!$AA$32="Baja",'Mapa final'!$AC$32="Moderado"),CONCATENATE("R4C",'Mapa final'!$Q$32),"")</f>
        <v/>
      </c>
      <c r="AB39" s="38" t="str">
        <f ca="1">IF(AND('Mapa final'!$AA$27="Baja",'Mapa final'!$AC$27="Mayor"),CONCATENATE("R4C",'Mapa final'!$Q$27),"")</f>
        <v>R4C1</v>
      </c>
      <c r="AC39" s="39" t="str">
        <f ca="1">IF(AND('Mapa final'!$AA$28="Baja",'Mapa final'!$AC$28="Mayor"),CONCATENATE("R4C",'Mapa final'!$Q$28),"")</f>
        <v/>
      </c>
      <c r="AD39" s="39" t="str">
        <f ca="1">IF(AND('Mapa final'!$AA$29="Baja",'Mapa final'!$AC$29="Mayor"),CONCATENATE("R4C",'Mapa final'!$Q$29),"")</f>
        <v/>
      </c>
      <c r="AE39" s="39" t="str">
        <f>IF(AND('Mapa final'!$AA$30="Baja",'Mapa final'!$AC$30="Mayor"),CONCATENATE("R4C",'Mapa final'!$Q$30),"")</f>
        <v/>
      </c>
      <c r="AF39" s="39" t="str">
        <f>IF(AND('Mapa final'!$AA$31="Baja",'Mapa final'!$AC$31="Mayor"),CONCATENATE("R4C",'Mapa final'!$Q$31),"")</f>
        <v/>
      </c>
      <c r="AG39" s="40" t="str">
        <f>IF(AND('Mapa final'!$AA$32="Baja",'Mapa final'!$AC$32="Mayor"),CONCATENATE("R4C",'Mapa final'!$Q$32),"")</f>
        <v/>
      </c>
      <c r="AH39" s="41" t="str">
        <f ca="1">IF(AND('Mapa final'!$AA$27="Baja",'Mapa final'!$AC$27="Catastrófico"),CONCATENATE("R4C",'Mapa final'!$Q$27),"")</f>
        <v/>
      </c>
      <c r="AI39" s="42" t="str">
        <f ca="1">IF(AND('Mapa final'!$AA$28="Baja",'Mapa final'!$AC$28="Catastrófico"),CONCATENATE("R4C",'Mapa final'!$Q$28),"")</f>
        <v/>
      </c>
      <c r="AJ39" s="42" t="str">
        <f ca="1">IF(AND('Mapa final'!$AA$29="Baja",'Mapa final'!$AC$29="Catastrófico"),CONCATENATE("R4C",'Mapa final'!$Q$29),"")</f>
        <v/>
      </c>
      <c r="AK39" s="42" t="str">
        <f>IF(AND('Mapa final'!$AA$30="Baja",'Mapa final'!$AC$30="Catastrófico"),CONCATENATE("R4C",'Mapa final'!$Q$30),"")</f>
        <v/>
      </c>
      <c r="AL39" s="42" t="str">
        <f>IF(AND('Mapa final'!$AA$31="Baja",'Mapa final'!$AC$31="Catastrófico"),CONCATENATE("R4C",'Mapa final'!$Q$31),"")</f>
        <v/>
      </c>
      <c r="AM39" s="43" t="str">
        <f>IF(AND('Mapa final'!$AA$32="Baja",'Mapa final'!$AC$32="Catastrófico"),CONCATENATE("R4C",'Mapa final'!$Q$32),"")</f>
        <v/>
      </c>
      <c r="AN39" s="70"/>
      <c r="AO39" s="356"/>
      <c r="AP39" s="357"/>
      <c r="AQ39" s="357"/>
      <c r="AR39" s="357"/>
      <c r="AS39" s="357"/>
      <c r="AT39" s="358"/>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34"/>
      <c r="C40" s="234"/>
      <c r="D40" s="235"/>
      <c r="E40" s="335"/>
      <c r="F40" s="336"/>
      <c r="G40" s="336"/>
      <c r="H40" s="336"/>
      <c r="I40" s="334"/>
      <c r="J40" s="63" t="str">
        <f ca="1">IF(AND('Mapa final'!$AA$33="Baja",'Mapa final'!$AC$33="Leve"),CONCATENATE("R5C",'Mapa final'!$Q$33),"")</f>
        <v/>
      </c>
      <c r="K40" s="64" t="str">
        <f ca="1">IF(AND('Mapa final'!$AA$34="Baja",'Mapa final'!$AC$34="Leve"),CONCATENATE("R5C",'Mapa final'!$Q$34),"")</f>
        <v/>
      </c>
      <c r="L40" s="64" t="str">
        <f>IF(AND('Mapa final'!$AA$35="Baja",'Mapa final'!$AC$35="Leve"),CONCATENATE("R5C",'Mapa final'!$Q$35),"")</f>
        <v/>
      </c>
      <c r="M40" s="64" t="str">
        <f>IF(AND('Mapa final'!$AA$36="Baja",'Mapa final'!$AC$36="Leve"),CONCATENATE("R5C",'Mapa final'!$Q$36),"")</f>
        <v/>
      </c>
      <c r="N40" s="64" t="str">
        <f>IF(AND('Mapa final'!$AA$37="Baja",'Mapa final'!$AC$37="Leve"),CONCATENATE("R5C",'Mapa final'!$Q$37),"")</f>
        <v/>
      </c>
      <c r="O40" s="65" t="str">
        <f>IF(AND('Mapa final'!$AA$38="Baja",'Mapa final'!$AC$38="Leve"),CONCATENATE("R5C",'Mapa final'!$Q$38),"")</f>
        <v/>
      </c>
      <c r="P40" s="54" t="str">
        <f ca="1">IF(AND('Mapa final'!$AA$33="Baja",'Mapa final'!$AC$33="Menor"),CONCATENATE("R5C",'Mapa final'!$Q$33),"")</f>
        <v/>
      </c>
      <c r="Q40" s="55" t="str">
        <f ca="1">IF(AND('Mapa final'!$AA$34="Baja",'Mapa final'!$AC$34="Menor"),CONCATENATE("R5C",'Mapa final'!$Q$34),"")</f>
        <v/>
      </c>
      <c r="R40" s="55" t="str">
        <f>IF(AND('Mapa final'!$AA$35="Baja",'Mapa final'!$AC$35="Menor"),CONCATENATE("R5C",'Mapa final'!$Q$35),"")</f>
        <v/>
      </c>
      <c r="S40" s="55" t="str">
        <f>IF(AND('Mapa final'!$AA$36="Baja",'Mapa final'!$AC$36="Menor"),CONCATENATE("R5C",'Mapa final'!$Q$36),"")</f>
        <v/>
      </c>
      <c r="T40" s="55" t="str">
        <f>IF(AND('Mapa final'!$AA$37="Baja",'Mapa final'!$AC$37="Menor"),CONCATENATE("R5C",'Mapa final'!$Q$37),"")</f>
        <v/>
      </c>
      <c r="U40" s="56" t="str">
        <f>IF(AND('Mapa final'!$AA$38="Baja",'Mapa final'!$AC$38="Menor"),CONCATENATE("R5C",'Mapa final'!$Q$38),"")</f>
        <v/>
      </c>
      <c r="V40" s="54" t="str">
        <f ca="1">IF(AND('Mapa final'!$AA$33="Baja",'Mapa final'!$AC$33="Moderado"),CONCATENATE("R5C",'Mapa final'!$Q$33),"")</f>
        <v/>
      </c>
      <c r="W40" s="55" t="str">
        <f ca="1">IF(AND('Mapa final'!$AA$34="Baja",'Mapa final'!$AC$34="Moderado"),CONCATENATE("R5C",'Mapa final'!$Q$34),"")</f>
        <v/>
      </c>
      <c r="X40" s="55" t="str">
        <f>IF(AND('Mapa final'!$AA$35="Baja",'Mapa final'!$AC$35="Moderado"),CONCATENATE("R5C",'Mapa final'!$Q$35),"")</f>
        <v/>
      </c>
      <c r="Y40" s="55" t="str">
        <f>IF(AND('Mapa final'!$AA$36="Baja",'Mapa final'!$AC$36="Moderado"),CONCATENATE("R5C",'Mapa final'!$Q$36),"")</f>
        <v/>
      </c>
      <c r="Z40" s="55" t="str">
        <f>IF(AND('Mapa final'!$AA$37="Baja",'Mapa final'!$AC$37="Moderado"),CONCATENATE("R5C",'Mapa final'!$Q$37),"")</f>
        <v/>
      </c>
      <c r="AA40" s="56" t="str">
        <f>IF(AND('Mapa final'!$AA$38="Baja",'Mapa final'!$AC$38="Moderado"),CONCATENATE("R5C",'Mapa final'!$Q$38),"")</f>
        <v/>
      </c>
      <c r="AB40" s="38" t="str">
        <f ca="1">IF(AND('Mapa final'!$AA$33="Baja",'Mapa final'!$AC$33="Mayor"),CONCATENATE("R5C",'Mapa final'!$Q$33),"")</f>
        <v/>
      </c>
      <c r="AC40" s="39" t="str">
        <f ca="1">IF(AND('Mapa final'!$AA$34="Baja",'Mapa final'!$AC$34="Mayor"),CONCATENATE("R5C",'Mapa final'!$Q$34),"")</f>
        <v>R5C2</v>
      </c>
      <c r="AD40" s="44" t="str">
        <f>IF(AND('Mapa final'!$AA$35="Baja",'Mapa final'!$AC$35="Mayor"),CONCATENATE("R5C",'Mapa final'!$Q$35),"")</f>
        <v/>
      </c>
      <c r="AE40" s="44" t="str">
        <f>IF(AND('Mapa final'!$AA$36="Baja",'Mapa final'!$AC$36="Mayor"),CONCATENATE("R5C",'Mapa final'!$Q$36),"")</f>
        <v/>
      </c>
      <c r="AF40" s="44" t="str">
        <f>IF(AND('Mapa final'!$AA$37="Baja",'Mapa final'!$AC$37="Mayor"),CONCATENATE("R5C",'Mapa final'!$Q$37),"")</f>
        <v/>
      </c>
      <c r="AG40" s="40" t="str">
        <f>IF(AND('Mapa final'!$AA$38="Baja",'Mapa final'!$AC$38="Mayor"),CONCATENATE("R5C",'Mapa final'!$Q$38),"")</f>
        <v/>
      </c>
      <c r="AH40" s="41" t="str">
        <f ca="1">IF(AND('Mapa final'!$AA$33="Baja",'Mapa final'!$AC$33="Catastrófico"),CONCATENATE("R5C",'Mapa final'!$Q$33),"")</f>
        <v/>
      </c>
      <c r="AI40" s="42" t="str">
        <f ca="1">IF(AND('Mapa final'!$AA$34="Baja",'Mapa final'!$AC$34="Catastrófico"),CONCATENATE("R5C",'Mapa final'!$Q$34),"")</f>
        <v/>
      </c>
      <c r="AJ40" s="42" t="str">
        <f>IF(AND('Mapa final'!$AA$35="Baja",'Mapa final'!$AC$35="Catastrófico"),CONCATENATE("R5C",'Mapa final'!$Q$35),"")</f>
        <v/>
      </c>
      <c r="AK40" s="42" t="str">
        <f>IF(AND('Mapa final'!$AA$36="Baja",'Mapa final'!$AC$36="Catastrófico"),CONCATENATE("R5C",'Mapa final'!$Q$36),"")</f>
        <v/>
      </c>
      <c r="AL40" s="42" t="str">
        <f>IF(AND('Mapa final'!$AA$37="Baja",'Mapa final'!$AC$37="Catastrófico"),CONCATENATE("R5C",'Mapa final'!$Q$37),"")</f>
        <v/>
      </c>
      <c r="AM40" s="43" t="str">
        <f>IF(AND('Mapa final'!$AA$38="Baja",'Mapa final'!$AC$38="Catastrófico"),CONCATENATE("R5C",'Mapa final'!$Q$38),"")</f>
        <v/>
      </c>
      <c r="AN40" s="70"/>
      <c r="AO40" s="356"/>
      <c r="AP40" s="357"/>
      <c r="AQ40" s="357"/>
      <c r="AR40" s="357"/>
      <c r="AS40" s="357"/>
      <c r="AT40" s="358"/>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34"/>
      <c r="C41" s="234"/>
      <c r="D41" s="235"/>
      <c r="E41" s="335"/>
      <c r="F41" s="336"/>
      <c r="G41" s="336"/>
      <c r="H41" s="336"/>
      <c r="I41" s="334"/>
      <c r="J41" s="63" t="str">
        <f>IF(AND('Mapa final'!$AA$39="Baja",'Mapa final'!$AC$39="Leve"),CONCATENATE("R6C",'Mapa final'!$Q$39),"")</f>
        <v/>
      </c>
      <c r="K41" s="64" t="str">
        <f>IF(AND('Mapa final'!$AA$40="Baja",'Mapa final'!$AC$40="Leve"),CONCATENATE("R6C",'Mapa final'!$Q$40),"")</f>
        <v/>
      </c>
      <c r="L41" s="64" t="str">
        <f>IF(AND('Mapa final'!$AA$41="Baja",'Mapa final'!$AC$41="Leve"),CONCATENATE("R6C",'Mapa final'!$Q$41),"")</f>
        <v/>
      </c>
      <c r="M41" s="64" t="str">
        <f>IF(AND('Mapa final'!$AA$42="Baja",'Mapa final'!$AC$42="Leve"),CONCATENATE("R6C",'Mapa final'!$Q$42),"")</f>
        <v/>
      </c>
      <c r="N41" s="64" t="str">
        <f>IF(AND('Mapa final'!$AA$43="Baja",'Mapa final'!$AC$43="Leve"),CONCATENATE("R6C",'Mapa final'!$Q$43),"")</f>
        <v/>
      </c>
      <c r="O41" s="65" t="str">
        <f>IF(AND('Mapa final'!$AA$44="Baja",'Mapa final'!$AC$44="Leve"),CONCATENATE("R6C",'Mapa final'!$Q$44),"")</f>
        <v/>
      </c>
      <c r="P41" s="54" t="str">
        <f>IF(AND('Mapa final'!$AA$39="Baja",'Mapa final'!$AC$39="Menor"),CONCATENATE("R6C",'Mapa final'!$Q$39),"")</f>
        <v/>
      </c>
      <c r="Q41" s="55" t="str">
        <f>IF(AND('Mapa final'!$AA$40="Baja",'Mapa final'!$AC$40="Menor"),CONCATENATE("R6C",'Mapa final'!$Q$40),"")</f>
        <v/>
      </c>
      <c r="R41" s="55" t="str">
        <f>IF(AND('Mapa final'!$AA$41="Baja",'Mapa final'!$AC$41="Menor"),CONCATENATE("R6C",'Mapa final'!$Q$41),"")</f>
        <v/>
      </c>
      <c r="S41" s="55" t="str">
        <f>IF(AND('Mapa final'!$AA$42="Baja",'Mapa final'!$AC$42="Menor"),CONCATENATE("R6C",'Mapa final'!$Q$42),"")</f>
        <v/>
      </c>
      <c r="T41" s="55" t="str">
        <f>IF(AND('Mapa final'!$AA$43="Baja",'Mapa final'!$AC$43="Menor"),CONCATENATE("R6C",'Mapa final'!$Q$43),"")</f>
        <v/>
      </c>
      <c r="U41" s="56" t="str">
        <f>IF(AND('Mapa final'!$AA$44="Baja",'Mapa final'!$AC$44="Menor"),CONCATENATE("R6C",'Mapa final'!$Q$44),"")</f>
        <v/>
      </c>
      <c r="V41" s="54" t="str">
        <f>IF(AND('Mapa final'!$AA$39="Baja",'Mapa final'!$AC$39="Moderado"),CONCATENATE("R6C",'Mapa final'!$Q$39),"")</f>
        <v/>
      </c>
      <c r="W41" s="55" t="str">
        <f>IF(AND('Mapa final'!$AA$40="Baja",'Mapa final'!$AC$40="Moderado"),CONCATENATE("R6C",'Mapa final'!$Q$40),"")</f>
        <v/>
      </c>
      <c r="X41" s="55" t="str">
        <f>IF(AND('Mapa final'!$AA$41="Baja",'Mapa final'!$AC$41="Moderado"),CONCATENATE("R6C",'Mapa final'!$Q$41),"")</f>
        <v/>
      </c>
      <c r="Y41" s="55" t="str">
        <f>IF(AND('Mapa final'!$AA$42="Baja",'Mapa final'!$AC$42="Moderado"),CONCATENATE("R6C",'Mapa final'!$Q$42),"")</f>
        <v/>
      </c>
      <c r="Z41" s="55" t="str">
        <f>IF(AND('Mapa final'!$AA$43="Baja",'Mapa final'!$AC$43="Moderado"),CONCATENATE("R6C",'Mapa final'!$Q$43),"")</f>
        <v/>
      </c>
      <c r="AA41" s="56" t="str">
        <f>IF(AND('Mapa final'!$AA$44="Baja",'Mapa final'!$AC$44="Moderado"),CONCATENATE("R6C",'Mapa final'!$Q$44),"")</f>
        <v/>
      </c>
      <c r="AB41" s="38" t="str">
        <f>IF(AND('Mapa final'!$AA$39="Baja",'Mapa final'!$AC$39="Mayor"),CONCATENATE("R6C",'Mapa final'!$Q$39),"")</f>
        <v/>
      </c>
      <c r="AC41" s="39" t="str">
        <f>IF(AND('Mapa final'!$AA$40="Baja",'Mapa final'!$AC$40="Mayor"),CONCATENATE("R6C",'Mapa final'!$Q$40),"")</f>
        <v/>
      </c>
      <c r="AD41" s="44" t="str">
        <f>IF(AND('Mapa final'!$AA$41="Baja",'Mapa final'!$AC$41="Mayor"),CONCATENATE("R6C",'Mapa final'!$Q$41),"")</f>
        <v/>
      </c>
      <c r="AE41" s="44" t="str">
        <f>IF(AND('Mapa final'!$AA$42="Baja",'Mapa final'!$AC$42="Mayor"),CONCATENATE("R6C",'Mapa final'!$Q$42),"")</f>
        <v/>
      </c>
      <c r="AF41" s="44" t="str">
        <f>IF(AND('Mapa final'!$AA$43="Baja",'Mapa final'!$AC$43="Mayor"),CONCATENATE("R6C",'Mapa final'!$Q$43),"")</f>
        <v/>
      </c>
      <c r="AG41" s="40" t="str">
        <f>IF(AND('Mapa final'!$AA$44="Baja",'Mapa final'!$AC$44="Mayor"),CONCATENATE("R6C",'Mapa final'!$Q$44),"")</f>
        <v/>
      </c>
      <c r="AH41" s="41" t="str">
        <f>IF(AND('Mapa final'!$AA$39="Baja",'Mapa final'!$AC$39="Catastrófico"),CONCATENATE("R6C",'Mapa final'!$Q$39),"")</f>
        <v/>
      </c>
      <c r="AI41" s="42" t="str">
        <f>IF(AND('Mapa final'!$AA$40="Baja",'Mapa final'!$AC$40="Catastrófico"),CONCATENATE("R6C",'Mapa final'!$Q$40),"")</f>
        <v/>
      </c>
      <c r="AJ41" s="42" t="str">
        <f>IF(AND('Mapa final'!$AA$41="Baja",'Mapa final'!$AC$41="Catastrófico"),CONCATENATE("R6C",'Mapa final'!$Q$41),"")</f>
        <v/>
      </c>
      <c r="AK41" s="42" t="str">
        <f>IF(AND('Mapa final'!$AA$42="Baja",'Mapa final'!$AC$42="Catastrófico"),CONCATENATE("R6C",'Mapa final'!$Q$42),"")</f>
        <v/>
      </c>
      <c r="AL41" s="42" t="str">
        <f>IF(AND('Mapa final'!$AA$43="Baja",'Mapa final'!$AC$43="Catastrófico"),CONCATENATE("R6C",'Mapa final'!$Q$43),"")</f>
        <v/>
      </c>
      <c r="AM41" s="43" t="str">
        <f>IF(AND('Mapa final'!$AA$44="Baja",'Mapa final'!$AC$44="Catastrófico"),CONCATENATE("R6C",'Mapa final'!$Q$44),"")</f>
        <v/>
      </c>
      <c r="AN41" s="70"/>
      <c r="AO41" s="356"/>
      <c r="AP41" s="357"/>
      <c r="AQ41" s="357"/>
      <c r="AR41" s="357"/>
      <c r="AS41" s="357"/>
      <c r="AT41" s="358"/>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34"/>
      <c r="C42" s="234"/>
      <c r="D42" s="235"/>
      <c r="E42" s="335"/>
      <c r="F42" s="336"/>
      <c r="G42" s="336"/>
      <c r="H42" s="336"/>
      <c r="I42" s="334"/>
      <c r="J42" s="63" t="str">
        <f>IF(AND('Mapa final'!$AA$45="Baja",'Mapa final'!$AC$45="Leve"),CONCATENATE("R7C",'Mapa final'!$Q$45),"")</f>
        <v/>
      </c>
      <c r="K42" s="64" t="str">
        <f>IF(AND('Mapa final'!$AA$46="Baja",'Mapa final'!$AC$46="Leve"),CONCATENATE("R7C",'Mapa final'!$Q$46),"")</f>
        <v/>
      </c>
      <c r="L42" s="64" t="str">
        <f>IF(AND('Mapa final'!$AA$47="Baja",'Mapa final'!$AC$47="Leve"),CONCATENATE("R7C",'Mapa final'!$Q$47),"")</f>
        <v/>
      </c>
      <c r="M42" s="64" t="str">
        <f>IF(AND('Mapa final'!$AA$48="Baja",'Mapa final'!$AC$48="Leve"),CONCATENATE("R7C",'Mapa final'!$Q$48),"")</f>
        <v/>
      </c>
      <c r="N42" s="64" t="str">
        <f>IF(AND('Mapa final'!$AA$49="Baja",'Mapa final'!$AC$49="Leve"),CONCATENATE("R7C",'Mapa final'!$Q$49),"")</f>
        <v/>
      </c>
      <c r="O42" s="65" t="str">
        <f>IF(AND('Mapa final'!$AA$50="Baja",'Mapa final'!$AC$50="Leve"),CONCATENATE("R7C",'Mapa final'!$Q$50),"")</f>
        <v/>
      </c>
      <c r="P42" s="54" t="str">
        <f>IF(AND('Mapa final'!$AA$45="Baja",'Mapa final'!$AC$45="Menor"),CONCATENATE("R7C",'Mapa final'!$Q$45),"")</f>
        <v/>
      </c>
      <c r="Q42" s="55" t="str">
        <f>IF(AND('Mapa final'!$AA$46="Baja",'Mapa final'!$AC$46="Menor"),CONCATENATE("R7C",'Mapa final'!$Q$46),"")</f>
        <v/>
      </c>
      <c r="R42" s="55" t="str">
        <f>IF(AND('Mapa final'!$AA$47="Baja",'Mapa final'!$AC$47="Menor"),CONCATENATE("R7C",'Mapa final'!$Q$47),"")</f>
        <v/>
      </c>
      <c r="S42" s="55" t="str">
        <f>IF(AND('Mapa final'!$AA$48="Baja",'Mapa final'!$AC$48="Menor"),CONCATENATE("R7C",'Mapa final'!$Q$48),"")</f>
        <v/>
      </c>
      <c r="T42" s="55" t="str">
        <f>IF(AND('Mapa final'!$AA$49="Baja",'Mapa final'!$AC$49="Menor"),CONCATENATE("R7C",'Mapa final'!$Q$49),"")</f>
        <v/>
      </c>
      <c r="U42" s="56" t="str">
        <f>IF(AND('Mapa final'!$AA$50="Baja",'Mapa final'!$AC$50="Menor"),CONCATENATE("R7C",'Mapa final'!$Q$50),"")</f>
        <v/>
      </c>
      <c r="V42" s="54" t="str">
        <f>IF(AND('Mapa final'!$AA$45="Baja",'Mapa final'!$AC$45="Moderado"),CONCATENATE("R7C",'Mapa final'!$Q$45),"")</f>
        <v/>
      </c>
      <c r="W42" s="55" t="str">
        <f>IF(AND('Mapa final'!$AA$46="Baja",'Mapa final'!$AC$46="Moderado"),CONCATENATE("R7C",'Mapa final'!$Q$46),"")</f>
        <v/>
      </c>
      <c r="X42" s="55" t="str">
        <f>IF(AND('Mapa final'!$AA$47="Baja",'Mapa final'!$AC$47="Moderado"),CONCATENATE("R7C",'Mapa final'!$Q$47),"")</f>
        <v/>
      </c>
      <c r="Y42" s="55" t="str">
        <f>IF(AND('Mapa final'!$AA$48="Baja",'Mapa final'!$AC$48="Moderado"),CONCATENATE("R7C",'Mapa final'!$Q$48),"")</f>
        <v/>
      </c>
      <c r="Z42" s="55" t="str">
        <f>IF(AND('Mapa final'!$AA$49="Baja",'Mapa final'!$AC$49="Moderado"),CONCATENATE("R7C",'Mapa final'!$Q$49),"")</f>
        <v/>
      </c>
      <c r="AA42" s="56" t="str">
        <f>IF(AND('Mapa final'!$AA$50="Baja",'Mapa final'!$AC$50="Moderado"),CONCATENATE("R7C",'Mapa final'!$Q$50),"")</f>
        <v/>
      </c>
      <c r="AB42" s="38" t="str">
        <f>IF(AND('Mapa final'!$AA$45="Baja",'Mapa final'!$AC$45="Mayor"),CONCATENATE("R7C",'Mapa final'!$Q$45),"")</f>
        <v/>
      </c>
      <c r="AC42" s="39" t="str">
        <f>IF(AND('Mapa final'!$AA$46="Baja",'Mapa final'!$AC$46="Mayor"),CONCATENATE("R7C",'Mapa final'!$Q$46),"")</f>
        <v/>
      </c>
      <c r="AD42" s="44" t="str">
        <f>IF(AND('Mapa final'!$AA$47="Baja",'Mapa final'!$AC$47="Mayor"),CONCATENATE("R7C",'Mapa final'!$Q$47),"")</f>
        <v/>
      </c>
      <c r="AE42" s="44" t="str">
        <f>IF(AND('Mapa final'!$AA$48="Baja",'Mapa final'!$AC$48="Mayor"),CONCATENATE("R7C",'Mapa final'!$Q$48),"")</f>
        <v/>
      </c>
      <c r="AF42" s="44" t="str">
        <f>IF(AND('Mapa final'!$AA$49="Baja",'Mapa final'!$AC$49="Mayor"),CONCATENATE("R7C",'Mapa final'!$Q$49),"")</f>
        <v/>
      </c>
      <c r="AG42" s="40" t="str">
        <f>IF(AND('Mapa final'!$AA$50="Baja",'Mapa final'!$AC$50="Mayor"),CONCATENATE("R7C",'Mapa final'!$Q$50),"")</f>
        <v/>
      </c>
      <c r="AH42" s="41" t="str">
        <f>IF(AND('Mapa final'!$AA$45="Baja",'Mapa final'!$AC$45="Catastrófico"),CONCATENATE("R7C",'Mapa final'!$Q$45),"")</f>
        <v/>
      </c>
      <c r="AI42" s="42" t="str">
        <f>IF(AND('Mapa final'!$AA$46="Baja",'Mapa final'!$AC$46="Catastrófico"),CONCATENATE("R7C",'Mapa final'!$Q$46),"")</f>
        <v/>
      </c>
      <c r="AJ42" s="42" t="str">
        <f>IF(AND('Mapa final'!$AA$47="Baja",'Mapa final'!$AC$47="Catastrófico"),CONCATENATE("R7C",'Mapa final'!$Q$47),"")</f>
        <v/>
      </c>
      <c r="AK42" s="42" t="str">
        <f>IF(AND('Mapa final'!$AA$48="Baja",'Mapa final'!$AC$48="Catastrófico"),CONCATENATE("R7C",'Mapa final'!$Q$48),"")</f>
        <v/>
      </c>
      <c r="AL42" s="42" t="str">
        <f>IF(AND('Mapa final'!$AA$49="Baja",'Mapa final'!$AC$49="Catastrófico"),CONCATENATE("R7C",'Mapa final'!$Q$49),"")</f>
        <v/>
      </c>
      <c r="AM42" s="43" t="str">
        <f>IF(AND('Mapa final'!$AA$50="Baja",'Mapa final'!$AC$50="Catastrófico"),CONCATENATE("R7C",'Mapa final'!$Q$50),"")</f>
        <v/>
      </c>
      <c r="AN42" s="70"/>
      <c r="AO42" s="356"/>
      <c r="AP42" s="357"/>
      <c r="AQ42" s="357"/>
      <c r="AR42" s="357"/>
      <c r="AS42" s="357"/>
      <c r="AT42" s="358"/>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34"/>
      <c r="C43" s="234"/>
      <c r="D43" s="235"/>
      <c r="E43" s="335"/>
      <c r="F43" s="336"/>
      <c r="G43" s="336"/>
      <c r="H43" s="336"/>
      <c r="I43" s="334"/>
      <c r="J43" s="63" t="str">
        <f>IF(AND('Mapa final'!$AA$51="Baja",'Mapa final'!$AC$51="Leve"),CONCATENATE("R8C",'Mapa final'!$Q$51),"")</f>
        <v/>
      </c>
      <c r="K43" s="64" t="str">
        <f>IF(AND('Mapa final'!$AA$52="Baja",'Mapa final'!$AC$52="Leve"),CONCATENATE("R8C",'Mapa final'!$Q$52),"")</f>
        <v/>
      </c>
      <c r="L43" s="64" t="str">
        <f>IF(AND('Mapa final'!$AA$53="Baja",'Mapa final'!$AC$53="Leve"),CONCATENATE("R8C",'Mapa final'!$Q$53),"")</f>
        <v/>
      </c>
      <c r="M43" s="64" t="str">
        <f>IF(AND('Mapa final'!$AA$54="Baja",'Mapa final'!$AC$54="Leve"),CONCATENATE("R8C",'Mapa final'!$Q$54),"")</f>
        <v/>
      </c>
      <c r="N43" s="64" t="str">
        <f>IF(AND('Mapa final'!$AA$55="Baja",'Mapa final'!$AC$55="Leve"),CONCATENATE("R8C",'Mapa final'!$Q$55),"")</f>
        <v/>
      </c>
      <c r="O43" s="65" t="str">
        <f>IF(AND('Mapa final'!$AA$56="Baja",'Mapa final'!$AC$56="Leve"),CONCATENATE("R8C",'Mapa final'!$Q$56),"")</f>
        <v/>
      </c>
      <c r="P43" s="54" t="str">
        <f>IF(AND('Mapa final'!$AA$51="Baja",'Mapa final'!$AC$51="Menor"),CONCATENATE("R8C",'Mapa final'!$Q$51),"")</f>
        <v/>
      </c>
      <c r="Q43" s="55" t="str">
        <f>IF(AND('Mapa final'!$AA$52="Baja",'Mapa final'!$AC$52="Menor"),CONCATENATE("R8C",'Mapa final'!$Q$52),"")</f>
        <v/>
      </c>
      <c r="R43" s="55" t="str">
        <f>IF(AND('Mapa final'!$AA$53="Baja",'Mapa final'!$AC$53="Menor"),CONCATENATE("R8C",'Mapa final'!$Q$53),"")</f>
        <v/>
      </c>
      <c r="S43" s="55" t="str">
        <f>IF(AND('Mapa final'!$AA$54="Baja",'Mapa final'!$AC$54="Menor"),CONCATENATE("R8C",'Mapa final'!$Q$54),"")</f>
        <v/>
      </c>
      <c r="T43" s="55" t="str">
        <f>IF(AND('Mapa final'!$AA$55="Baja",'Mapa final'!$AC$55="Menor"),CONCATENATE("R8C",'Mapa final'!$Q$55),"")</f>
        <v/>
      </c>
      <c r="U43" s="56" t="str">
        <f>IF(AND('Mapa final'!$AA$56="Baja",'Mapa final'!$AC$56="Menor"),CONCATENATE("R8C",'Mapa final'!$Q$56),"")</f>
        <v/>
      </c>
      <c r="V43" s="54" t="str">
        <f>IF(AND('Mapa final'!$AA$51="Baja",'Mapa final'!$AC$51="Moderado"),CONCATENATE("R8C",'Mapa final'!$Q$51),"")</f>
        <v/>
      </c>
      <c r="W43" s="55" t="str">
        <f>IF(AND('Mapa final'!$AA$52="Baja",'Mapa final'!$AC$52="Moderado"),CONCATENATE("R8C",'Mapa final'!$Q$52),"")</f>
        <v/>
      </c>
      <c r="X43" s="55" t="str">
        <f>IF(AND('Mapa final'!$AA$53="Baja",'Mapa final'!$AC$53="Moderado"),CONCATENATE("R8C",'Mapa final'!$Q$53),"")</f>
        <v/>
      </c>
      <c r="Y43" s="55" t="str">
        <f>IF(AND('Mapa final'!$AA$54="Baja",'Mapa final'!$AC$54="Moderado"),CONCATENATE("R8C",'Mapa final'!$Q$54),"")</f>
        <v/>
      </c>
      <c r="Z43" s="55" t="str">
        <f>IF(AND('Mapa final'!$AA$55="Baja",'Mapa final'!$AC$55="Moderado"),CONCATENATE("R8C",'Mapa final'!$Q$55),"")</f>
        <v/>
      </c>
      <c r="AA43" s="56" t="str">
        <f>IF(AND('Mapa final'!$AA$56="Baja",'Mapa final'!$AC$56="Moderado"),CONCATENATE("R8C",'Mapa final'!$Q$56),"")</f>
        <v/>
      </c>
      <c r="AB43" s="38" t="str">
        <f>IF(AND('Mapa final'!$AA$51="Baja",'Mapa final'!$AC$51="Mayor"),CONCATENATE("R8C",'Mapa final'!$Q$51),"")</f>
        <v/>
      </c>
      <c r="AC43" s="39" t="str">
        <f>IF(AND('Mapa final'!$AA$52="Baja",'Mapa final'!$AC$52="Mayor"),CONCATENATE("R8C",'Mapa final'!$Q$52),"")</f>
        <v/>
      </c>
      <c r="AD43" s="44" t="str">
        <f>IF(AND('Mapa final'!$AA$53="Baja",'Mapa final'!$AC$53="Mayor"),CONCATENATE("R8C",'Mapa final'!$Q$53),"")</f>
        <v/>
      </c>
      <c r="AE43" s="44" t="str">
        <f>IF(AND('Mapa final'!$AA$54="Baja",'Mapa final'!$AC$54="Mayor"),CONCATENATE("R8C",'Mapa final'!$Q$54),"")</f>
        <v/>
      </c>
      <c r="AF43" s="44" t="str">
        <f>IF(AND('Mapa final'!$AA$55="Baja",'Mapa final'!$AC$55="Mayor"),CONCATENATE("R8C",'Mapa final'!$Q$55),"")</f>
        <v/>
      </c>
      <c r="AG43" s="40" t="str">
        <f>IF(AND('Mapa final'!$AA$56="Baja",'Mapa final'!$AC$56="Mayor"),CONCATENATE("R8C",'Mapa final'!$Q$56),"")</f>
        <v/>
      </c>
      <c r="AH43" s="41" t="str">
        <f>IF(AND('Mapa final'!$AA$51="Baja",'Mapa final'!$AC$51="Catastrófico"),CONCATENATE("R8C",'Mapa final'!$Q$51),"")</f>
        <v/>
      </c>
      <c r="AI43" s="42" t="str">
        <f>IF(AND('Mapa final'!$AA$52="Baja",'Mapa final'!$AC$52="Catastrófico"),CONCATENATE("R8C",'Mapa final'!$Q$52),"")</f>
        <v/>
      </c>
      <c r="AJ43" s="42" t="str">
        <f>IF(AND('Mapa final'!$AA$53="Baja",'Mapa final'!$AC$53="Catastrófico"),CONCATENATE("R8C",'Mapa final'!$Q$53),"")</f>
        <v/>
      </c>
      <c r="AK43" s="42" t="str">
        <f>IF(AND('Mapa final'!$AA$54="Baja",'Mapa final'!$AC$54="Catastrófico"),CONCATENATE("R8C",'Mapa final'!$Q$54),"")</f>
        <v/>
      </c>
      <c r="AL43" s="42" t="str">
        <f>IF(AND('Mapa final'!$AA$55="Baja",'Mapa final'!$AC$55="Catastrófico"),CONCATENATE("R8C",'Mapa final'!$Q$55),"")</f>
        <v/>
      </c>
      <c r="AM43" s="43" t="str">
        <f>IF(AND('Mapa final'!$AA$56="Baja",'Mapa final'!$AC$56="Catastrófico"),CONCATENATE("R8C",'Mapa final'!$Q$56),"")</f>
        <v/>
      </c>
      <c r="AN43" s="70"/>
      <c r="AO43" s="356"/>
      <c r="AP43" s="357"/>
      <c r="AQ43" s="357"/>
      <c r="AR43" s="357"/>
      <c r="AS43" s="357"/>
      <c r="AT43" s="358"/>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34"/>
      <c r="C44" s="234"/>
      <c r="D44" s="235"/>
      <c r="E44" s="335"/>
      <c r="F44" s="336"/>
      <c r="G44" s="336"/>
      <c r="H44" s="336"/>
      <c r="I44" s="334"/>
      <c r="J44" s="63" t="str">
        <f>IF(AND('Mapa final'!$AA$57="Baja",'Mapa final'!$AC$57="Leve"),CONCATENATE("R9C",'Mapa final'!$Q$57),"")</f>
        <v/>
      </c>
      <c r="K44" s="64" t="str">
        <f>IF(AND('Mapa final'!$AA$58="Baja",'Mapa final'!$AC$58="Leve"),CONCATENATE("R9C",'Mapa final'!$Q$58),"")</f>
        <v/>
      </c>
      <c r="L44" s="64" t="str">
        <f>IF(AND('Mapa final'!$AA$59="Baja",'Mapa final'!$AC$59="Leve"),CONCATENATE("R9C",'Mapa final'!$Q$59),"")</f>
        <v/>
      </c>
      <c r="M44" s="64" t="str">
        <f>IF(AND('Mapa final'!$AA$60="Baja",'Mapa final'!$AC$60="Leve"),CONCATENATE("R9C",'Mapa final'!$Q$60),"")</f>
        <v/>
      </c>
      <c r="N44" s="64" t="str">
        <f>IF(AND('Mapa final'!$AA$61="Baja",'Mapa final'!$AC$61="Leve"),CONCATENATE("R9C",'Mapa final'!$Q$61),"")</f>
        <v/>
      </c>
      <c r="O44" s="65" t="str">
        <f>IF(AND('Mapa final'!$AA$62="Baja",'Mapa final'!$AC$62="Leve"),CONCATENATE("R9C",'Mapa final'!$Q$62),"")</f>
        <v/>
      </c>
      <c r="P44" s="54" t="str">
        <f>IF(AND('Mapa final'!$AA$57="Baja",'Mapa final'!$AC$57="Menor"),CONCATENATE("R9C",'Mapa final'!$Q$57),"")</f>
        <v/>
      </c>
      <c r="Q44" s="55" t="str">
        <f>IF(AND('Mapa final'!$AA$58="Baja",'Mapa final'!$AC$58="Menor"),CONCATENATE("R9C",'Mapa final'!$Q$58),"")</f>
        <v/>
      </c>
      <c r="R44" s="55" t="str">
        <f>IF(AND('Mapa final'!$AA$59="Baja",'Mapa final'!$AC$59="Menor"),CONCATENATE("R9C",'Mapa final'!$Q$59),"")</f>
        <v/>
      </c>
      <c r="S44" s="55" t="str">
        <f>IF(AND('Mapa final'!$AA$60="Baja",'Mapa final'!$AC$60="Menor"),CONCATENATE("R9C",'Mapa final'!$Q$60),"")</f>
        <v/>
      </c>
      <c r="T44" s="55" t="str">
        <f>IF(AND('Mapa final'!$AA$61="Baja",'Mapa final'!$AC$61="Menor"),CONCATENATE("R9C",'Mapa final'!$Q$61),"")</f>
        <v/>
      </c>
      <c r="U44" s="56" t="str">
        <f>IF(AND('Mapa final'!$AA$62="Baja",'Mapa final'!$AC$62="Menor"),CONCATENATE("R9C",'Mapa final'!$Q$62),"")</f>
        <v/>
      </c>
      <c r="V44" s="54" t="str">
        <f>IF(AND('Mapa final'!$AA$57="Baja",'Mapa final'!$AC$57="Moderado"),CONCATENATE("R9C",'Mapa final'!$Q$57),"")</f>
        <v/>
      </c>
      <c r="W44" s="55" t="str">
        <f>IF(AND('Mapa final'!$AA$58="Baja",'Mapa final'!$AC$58="Moderado"),CONCATENATE("R9C",'Mapa final'!$Q$58),"")</f>
        <v/>
      </c>
      <c r="X44" s="55" t="str">
        <f>IF(AND('Mapa final'!$AA$59="Baja",'Mapa final'!$AC$59="Moderado"),CONCATENATE("R9C",'Mapa final'!$Q$59),"")</f>
        <v/>
      </c>
      <c r="Y44" s="55" t="str">
        <f>IF(AND('Mapa final'!$AA$60="Baja",'Mapa final'!$AC$60="Moderado"),CONCATENATE("R9C",'Mapa final'!$Q$60),"")</f>
        <v/>
      </c>
      <c r="Z44" s="55" t="str">
        <f>IF(AND('Mapa final'!$AA$61="Baja",'Mapa final'!$AC$61="Moderado"),CONCATENATE("R9C",'Mapa final'!$Q$61),"")</f>
        <v/>
      </c>
      <c r="AA44" s="56" t="str">
        <f>IF(AND('Mapa final'!$AA$62="Baja",'Mapa final'!$AC$62="Moderado"),CONCATENATE("R9C",'Mapa final'!$Q$62),"")</f>
        <v/>
      </c>
      <c r="AB44" s="38" t="str">
        <f>IF(AND('Mapa final'!$AA$57="Baja",'Mapa final'!$AC$57="Mayor"),CONCATENATE("R9C",'Mapa final'!$Q$57),"")</f>
        <v/>
      </c>
      <c r="AC44" s="39" t="str">
        <f>IF(AND('Mapa final'!$AA$58="Baja",'Mapa final'!$AC$58="Mayor"),CONCATENATE("R9C",'Mapa final'!$Q$58),"")</f>
        <v/>
      </c>
      <c r="AD44" s="44" t="str">
        <f>IF(AND('Mapa final'!$AA$59="Baja",'Mapa final'!$AC$59="Mayor"),CONCATENATE("R9C",'Mapa final'!$Q$59),"")</f>
        <v/>
      </c>
      <c r="AE44" s="44" t="str">
        <f>IF(AND('Mapa final'!$AA$60="Baja",'Mapa final'!$AC$60="Mayor"),CONCATENATE("R9C",'Mapa final'!$Q$60),"")</f>
        <v/>
      </c>
      <c r="AF44" s="44" t="str">
        <f>IF(AND('Mapa final'!$AA$61="Baja",'Mapa final'!$AC$61="Mayor"),CONCATENATE("R9C",'Mapa final'!$Q$61),"")</f>
        <v/>
      </c>
      <c r="AG44" s="40" t="str">
        <f>IF(AND('Mapa final'!$AA$62="Baja",'Mapa final'!$AC$62="Mayor"),CONCATENATE("R9C",'Mapa final'!$Q$62),"")</f>
        <v/>
      </c>
      <c r="AH44" s="41" t="str">
        <f>IF(AND('Mapa final'!$AA$57="Baja",'Mapa final'!$AC$57="Catastrófico"),CONCATENATE("R9C",'Mapa final'!$Q$57),"")</f>
        <v/>
      </c>
      <c r="AI44" s="42" t="str">
        <f>IF(AND('Mapa final'!$AA$58="Baja",'Mapa final'!$AC$58="Catastrófico"),CONCATENATE("R9C",'Mapa final'!$Q$58),"")</f>
        <v/>
      </c>
      <c r="AJ44" s="42" t="str">
        <f>IF(AND('Mapa final'!$AA$59="Baja",'Mapa final'!$AC$59="Catastrófico"),CONCATENATE("R9C",'Mapa final'!$Q$59),"")</f>
        <v/>
      </c>
      <c r="AK44" s="42" t="str">
        <f>IF(AND('Mapa final'!$AA$60="Baja",'Mapa final'!$AC$60="Catastrófico"),CONCATENATE("R9C",'Mapa final'!$Q$60),"")</f>
        <v/>
      </c>
      <c r="AL44" s="42" t="str">
        <f>IF(AND('Mapa final'!$AA$61="Baja",'Mapa final'!$AC$61="Catastrófico"),CONCATENATE("R9C",'Mapa final'!$Q$61),"")</f>
        <v/>
      </c>
      <c r="AM44" s="43" t="str">
        <f>IF(AND('Mapa final'!$AA$62="Baja",'Mapa final'!$AC$62="Catastrófico"),CONCATENATE("R9C",'Mapa final'!$Q$62),"")</f>
        <v/>
      </c>
      <c r="AN44" s="70"/>
      <c r="AO44" s="356"/>
      <c r="AP44" s="357"/>
      <c r="AQ44" s="357"/>
      <c r="AR44" s="357"/>
      <c r="AS44" s="357"/>
      <c r="AT44" s="358"/>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34"/>
      <c r="C45" s="234"/>
      <c r="D45" s="235"/>
      <c r="E45" s="337"/>
      <c r="F45" s="338"/>
      <c r="G45" s="338"/>
      <c r="H45" s="338"/>
      <c r="I45" s="338"/>
      <c r="J45" s="66" t="str">
        <f>IF(AND('Mapa final'!$AA$63="Baja",'Mapa final'!$AC$63="Leve"),CONCATENATE("R10C",'Mapa final'!$Q$63),"")</f>
        <v/>
      </c>
      <c r="K45" s="67" t="str">
        <f>IF(AND('Mapa final'!$AA$64="Baja",'Mapa final'!$AC$64="Leve"),CONCATENATE("R10C",'Mapa final'!$Q$64),"")</f>
        <v/>
      </c>
      <c r="L45" s="67" t="str">
        <f>IF(AND('Mapa final'!$AA$65="Baja",'Mapa final'!$AC$65="Leve"),CONCATENATE("R10C",'Mapa final'!$Q$65),"")</f>
        <v/>
      </c>
      <c r="M45" s="67" t="str">
        <f>IF(AND('Mapa final'!$AA$66="Baja",'Mapa final'!$AC$66="Leve"),CONCATENATE("R10C",'Mapa final'!$Q$66),"")</f>
        <v/>
      </c>
      <c r="N45" s="67" t="str">
        <f>IF(AND('Mapa final'!$AA$67="Baja",'Mapa final'!$AC$67="Leve"),CONCATENATE("R10C",'Mapa final'!$Q$67),"")</f>
        <v/>
      </c>
      <c r="O45" s="68" t="str">
        <f>IF(AND('Mapa final'!$AA$68="Baja",'Mapa final'!$AC$68="Leve"),CONCATENATE("R10C",'Mapa final'!$Q$68),"")</f>
        <v/>
      </c>
      <c r="P45" s="54" t="str">
        <f>IF(AND('Mapa final'!$AA$63="Baja",'Mapa final'!$AC$63="Menor"),CONCATENATE("R10C",'Mapa final'!$Q$63),"")</f>
        <v/>
      </c>
      <c r="Q45" s="55" t="str">
        <f>IF(AND('Mapa final'!$AA$64="Baja",'Mapa final'!$AC$64="Menor"),CONCATENATE("R10C",'Mapa final'!$Q$64),"")</f>
        <v/>
      </c>
      <c r="R45" s="55" t="str">
        <f>IF(AND('Mapa final'!$AA$65="Baja",'Mapa final'!$AC$65="Menor"),CONCATENATE("R10C",'Mapa final'!$Q$65),"")</f>
        <v/>
      </c>
      <c r="S45" s="55" t="str">
        <f>IF(AND('Mapa final'!$AA$66="Baja",'Mapa final'!$AC$66="Menor"),CONCATENATE("R10C",'Mapa final'!$Q$66),"")</f>
        <v/>
      </c>
      <c r="T45" s="55" t="str">
        <f>IF(AND('Mapa final'!$AA$67="Baja",'Mapa final'!$AC$67="Menor"),CONCATENATE("R10C",'Mapa final'!$Q$67),"")</f>
        <v/>
      </c>
      <c r="U45" s="56" t="str">
        <f>IF(AND('Mapa final'!$AA$68="Baja",'Mapa final'!$AC$68="Menor"),CONCATENATE("R10C",'Mapa final'!$Q$68),"")</f>
        <v/>
      </c>
      <c r="V45" s="57" t="str">
        <f>IF(AND('Mapa final'!$AA$63="Baja",'Mapa final'!$AC$63="Moderado"),CONCATENATE("R10C",'Mapa final'!$Q$63),"")</f>
        <v/>
      </c>
      <c r="W45" s="58" t="str">
        <f>IF(AND('Mapa final'!$AA$64="Baja",'Mapa final'!$AC$64="Moderado"),CONCATENATE("R10C",'Mapa final'!$Q$64),"")</f>
        <v/>
      </c>
      <c r="X45" s="58" t="str">
        <f>IF(AND('Mapa final'!$AA$65="Baja",'Mapa final'!$AC$65="Moderado"),CONCATENATE("R10C",'Mapa final'!$Q$65),"")</f>
        <v/>
      </c>
      <c r="Y45" s="58" t="str">
        <f>IF(AND('Mapa final'!$AA$66="Baja",'Mapa final'!$AC$66="Moderado"),CONCATENATE("R10C",'Mapa final'!$Q$66),"")</f>
        <v/>
      </c>
      <c r="Z45" s="58" t="str">
        <f>IF(AND('Mapa final'!$AA$67="Baja",'Mapa final'!$AC$67="Moderado"),CONCATENATE("R10C",'Mapa final'!$Q$67),"")</f>
        <v/>
      </c>
      <c r="AA45" s="59" t="str">
        <f>IF(AND('Mapa final'!$AA$68="Baja",'Mapa final'!$AC$68="Moderado"),CONCATENATE("R10C",'Mapa final'!$Q$68),"")</f>
        <v/>
      </c>
      <c r="AB45" s="45" t="str">
        <f>IF(AND('Mapa final'!$AA$63="Baja",'Mapa final'!$AC$63="Mayor"),CONCATENATE("R10C",'Mapa final'!$Q$63),"")</f>
        <v/>
      </c>
      <c r="AC45" s="46" t="str">
        <f>IF(AND('Mapa final'!$AA$64="Baja",'Mapa final'!$AC$64="Mayor"),CONCATENATE("R10C",'Mapa final'!$Q$64),"")</f>
        <v/>
      </c>
      <c r="AD45" s="46" t="str">
        <f>IF(AND('Mapa final'!$AA$65="Baja",'Mapa final'!$AC$65="Mayor"),CONCATENATE("R10C",'Mapa final'!$Q$65),"")</f>
        <v/>
      </c>
      <c r="AE45" s="46" t="str">
        <f>IF(AND('Mapa final'!$AA$66="Baja",'Mapa final'!$AC$66="Mayor"),CONCATENATE("R10C",'Mapa final'!$Q$66),"")</f>
        <v/>
      </c>
      <c r="AF45" s="46" t="str">
        <f>IF(AND('Mapa final'!$AA$67="Baja",'Mapa final'!$AC$67="Mayor"),CONCATENATE("R10C",'Mapa final'!$Q$67),"")</f>
        <v/>
      </c>
      <c r="AG45" s="47" t="str">
        <f>IF(AND('Mapa final'!$AA$68="Baja",'Mapa final'!$AC$68="Mayor"),CONCATENATE("R10C",'Mapa final'!$Q$68),"")</f>
        <v/>
      </c>
      <c r="AH45" s="48" t="str">
        <f>IF(AND('Mapa final'!$AA$63="Baja",'Mapa final'!$AC$63="Catastrófico"),CONCATENATE("R10C",'Mapa final'!$Q$63),"")</f>
        <v/>
      </c>
      <c r="AI45" s="49" t="str">
        <f>IF(AND('Mapa final'!$AA$64="Baja",'Mapa final'!$AC$64="Catastrófico"),CONCATENATE("R10C",'Mapa final'!$Q$64),"")</f>
        <v/>
      </c>
      <c r="AJ45" s="49" t="str">
        <f>IF(AND('Mapa final'!$AA$65="Baja",'Mapa final'!$AC$65="Catastrófico"),CONCATENATE("R10C",'Mapa final'!$Q$65),"")</f>
        <v/>
      </c>
      <c r="AK45" s="49" t="str">
        <f>IF(AND('Mapa final'!$AA$66="Baja",'Mapa final'!$AC$66="Catastrófico"),CONCATENATE("R10C",'Mapa final'!$Q$66),"")</f>
        <v/>
      </c>
      <c r="AL45" s="49" t="str">
        <f>IF(AND('Mapa final'!$AA$67="Baja",'Mapa final'!$AC$67="Catastrófico"),CONCATENATE("R10C",'Mapa final'!$Q$67),"")</f>
        <v/>
      </c>
      <c r="AM45" s="50" t="str">
        <f>IF(AND('Mapa final'!$AA$68="Baja",'Mapa final'!$AC$68="Catastrófico"),CONCATENATE("R10C",'Mapa final'!$Q$68),"")</f>
        <v/>
      </c>
      <c r="AN45" s="70"/>
      <c r="AO45" s="359"/>
      <c r="AP45" s="360"/>
      <c r="AQ45" s="360"/>
      <c r="AR45" s="360"/>
      <c r="AS45" s="360"/>
      <c r="AT45" s="361"/>
    </row>
    <row r="46" spans="1:80" ht="46.5" customHeight="1" x14ac:dyDescent="0.35">
      <c r="A46" s="70"/>
      <c r="B46" s="234"/>
      <c r="C46" s="234"/>
      <c r="D46" s="235"/>
      <c r="E46" s="331" t="s">
        <v>109</v>
      </c>
      <c r="F46" s="332"/>
      <c r="G46" s="332"/>
      <c r="H46" s="332"/>
      <c r="I46" s="350"/>
      <c r="J46" s="60" t="str">
        <f ca="1">IF(AND('Mapa final'!$AA$9="Muy Baja",'Mapa final'!$AC$9="Leve"),CONCATENATE("R1C",'Mapa final'!$Q$9),"")</f>
        <v/>
      </c>
      <c r="K46" s="61" t="str">
        <f ca="1">IF(AND('Mapa final'!$AA$10="Muy Baja",'Mapa final'!$AC$10="Leve"),CONCATENATE("R1C",'Mapa final'!$Q$10),"")</f>
        <v/>
      </c>
      <c r="L46" s="61" t="str">
        <f>IF(AND('Mapa final'!$AA$11="Muy Baja",'Mapa final'!$AC$11="Leve"),CONCATENATE("R1C",'Mapa final'!$Q$11),"")</f>
        <v/>
      </c>
      <c r="M46" s="61" t="str">
        <f>IF(AND('Mapa final'!$AA$12="Muy Baja",'Mapa final'!$AC$12="Leve"),CONCATENATE("R1C",'Mapa final'!$Q$12),"")</f>
        <v/>
      </c>
      <c r="N46" s="61" t="str">
        <f>IF(AND('Mapa final'!$AA$13="Muy Baja",'Mapa final'!$AC$13="Leve"),CONCATENATE("R1C",'Mapa final'!$Q$13),"")</f>
        <v/>
      </c>
      <c r="O46" s="62" t="str">
        <f>IF(AND('Mapa final'!$AA$14="Muy Baja",'Mapa final'!$AC$14="Leve"),CONCATENATE("R1C",'Mapa final'!$Q$14),"")</f>
        <v/>
      </c>
      <c r="P46" s="60" t="str">
        <f ca="1">IF(AND('Mapa final'!$AA$9="Muy Baja",'Mapa final'!$AC$9="Menor"),CONCATENATE("R1C",'Mapa final'!$Q$9),"")</f>
        <v/>
      </c>
      <c r="Q46" s="61" t="str">
        <f ca="1">IF(AND('Mapa final'!$AA$10="Muy Baja",'Mapa final'!$AC$10="Menor"),CONCATENATE("R1C",'Mapa final'!$Q$10),"")</f>
        <v/>
      </c>
      <c r="R46" s="61" t="str">
        <f>IF(AND('Mapa final'!$AA$11="Muy Baja",'Mapa final'!$AC$11="Menor"),CONCATENATE("R1C",'Mapa final'!$Q$11),"")</f>
        <v/>
      </c>
      <c r="S46" s="61" t="str">
        <f>IF(AND('Mapa final'!$AA$12="Muy Baja",'Mapa final'!$AC$12="Menor"),CONCATENATE("R1C",'Mapa final'!$Q$12),"")</f>
        <v/>
      </c>
      <c r="T46" s="61" t="str">
        <f>IF(AND('Mapa final'!$AA$13="Muy Baja",'Mapa final'!$AC$13="Menor"),CONCATENATE("R1C",'Mapa final'!$Q$13),"")</f>
        <v/>
      </c>
      <c r="U46" s="62" t="str">
        <f>IF(AND('Mapa final'!$AA$14="Muy Baja",'Mapa final'!$AC$14="Menor"),CONCATENATE("R1C",'Mapa final'!$Q$14),"")</f>
        <v/>
      </c>
      <c r="V46" s="51" t="str">
        <f ca="1">IF(AND('Mapa final'!$AA$9="Muy Baja",'Mapa final'!$AC$9="Moderado"),CONCATENATE("R1C",'Mapa final'!$Q$9),"")</f>
        <v/>
      </c>
      <c r="W46" s="69" t="str">
        <f ca="1">IF(AND('Mapa final'!$AA$10="Muy Baja",'Mapa final'!$AC$10="Moderado"),CONCATENATE("R1C",'Mapa final'!$Q$10),"")</f>
        <v/>
      </c>
      <c r="X46" s="52" t="str">
        <f>IF(AND('Mapa final'!$AA$11="Muy Baja",'Mapa final'!$AC$11="Moderado"),CONCATENATE("R1C",'Mapa final'!$Q$11),"")</f>
        <v/>
      </c>
      <c r="Y46" s="52" t="str">
        <f>IF(AND('Mapa final'!$AA$12="Muy Baja",'Mapa final'!$AC$12="Moderado"),CONCATENATE("R1C",'Mapa final'!$Q$12),"")</f>
        <v/>
      </c>
      <c r="Z46" s="52" t="str">
        <f>IF(AND('Mapa final'!$AA$13="Muy Baja",'Mapa final'!$AC$13="Moderado"),CONCATENATE("R1C",'Mapa final'!$Q$13),"")</f>
        <v/>
      </c>
      <c r="AA46" s="53" t="str">
        <f>IF(AND('Mapa final'!$AA$14="Muy Baja",'Mapa final'!$AC$14="Moderado"),CONCATENATE("R1C",'Mapa final'!$Q$14),"")</f>
        <v/>
      </c>
      <c r="AB46" s="32" t="str">
        <f ca="1">IF(AND('Mapa final'!$AA$9="Muy Baja",'Mapa final'!$AC$9="Mayor"),CONCATENATE("R1C",'Mapa final'!$Q$9),"")</f>
        <v/>
      </c>
      <c r="AC46" s="33" t="str">
        <f ca="1">IF(AND('Mapa final'!$AA$10="Muy Baja",'Mapa final'!$AC$10="Mayor"),CONCATENATE("R1C",'Mapa final'!$Q$10),"")</f>
        <v/>
      </c>
      <c r="AD46" s="33" t="str">
        <f>IF(AND('Mapa final'!$AA$11="Muy Baja",'Mapa final'!$AC$11="Mayor"),CONCATENATE("R1C",'Mapa final'!$Q$11),"")</f>
        <v/>
      </c>
      <c r="AE46" s="33" t="str">
        <f>IF(AND('Mapa final'!$AA$12="Muy Baja",'Mapa final'!$AC$12="Mayor"),CONCATENATE("R1C",'Mapa final'!$Q$12),"")</f>
        <v/>
      </c>
      <c r="AF46" s="33" t="str">
        <f>IF(AND('Mapa final'!$AA$13="Muy Baja",'Mapa final'!$AC$13="Mayor"),CONCATENATE("R1C",'Mapa final'!$Q$13),"")</f>
        <v/>
      </c>
      <c r="AG46" s="34" t="str">
        <f>IF(AND('Mapa final'!$AA$14="Muy Baja",'Mapa final'!$AC$14="Mayor"),CONCATENATE("R1C",'Mapa final'!$Q$14),"")</f>
        <v/>
      </c>
      <c r="AH46" s="35" t="str">
        <f ca="1">IF(AND('Mapa final'!$AA$9="Muy Baja",'Mapa final'!$AC$9="Catastrófico"),CONCATENATE("R1C",'Mapa final'!$Q$9),"")</f>
        <v/>
      </c>
      <c r="AI46" s="36" t="str">
        <f ca="1">IF(AND('Mapa final'!$AA$10="Muy Baja",'Mapa final'!$AC$10="Catastrófico"),CONCATENATE("R1C",'Mapa final'!$Q$10),"")</f>
        <v/>
      </c>
      <c r="AJ46" s="36" t="str">
        <f>IF(AND('Mapa final'!$AA$11="Muy Baja",'Mapa final'!$AC$11="Catastrófico"),CONCATENATE("R1C",'Mapa final'!$Q$11),"")</f>
        <v/>
      </c>
      <c r="AK46" s="36" t="str">
        <f>IF(AND('Mapa final'!$AA$12="Muy Baja",'Mapa final'!$AC$12="Catastrófico"),CONCATENATE("R1C",'Mapa final'!$Q$12),"")</f>
        <v/>
      </c>
      <c r="AL46" s="36" t="str">
        <f>IF(AND('Mapa final'!$AA$13="Muy Baja",'Mapa final'!$AC$13="Catastrófico"),CONCATENATE("R1C",'Mapa final'!$Q$13),"")</f>
        <v/>
      </c>
      <c r="AM46" s="37" t="str">
        <f>IF(AND('Mapa final'!$AA$14="Muy Baja",'Mapa final'!$AC$14="Catastrófico"),CONCATENATE("R1C",'Mapa final'!$Q$14),"")</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234"/>
      <c r="C47" s="234"/>
      <c r="D47" s="235"/>
      <c r="E47" s="333"/>
      <c r="F47" s="334"/>
      <c r="G47" s="334"/>
      <c r="H47" s="334"/>
      <c r="I47" s="351"/>
      <c r="J47" s="63" t="str">
        <f ca="1">IF(AND('Mapa final'!$AA$15="Muy Baja",'Mapa final'!$AC$15="Leve"),CONCATENATE("R2C",'Mapa final'!$Q$15),"")</f>
        <v/>
      </c>
      <c r="K47" s="64" t="str">
        <f ca="1">IF(AND('Mapa final'!$AA$16="Muy Baja",'Mapa final'!$AC$16="Leve"),CONCATENATE("R2C",'Mapa final'!$Q$16),"")</f>
        <v/>
      </c>
      <c r="L47" s="64" t="str">
        <f>IF(AND('Mapa final'!$AA$17="Muy Baja",'Mapa final'!$AC$17="Leve"),CONCATENATE("R2C",'Mapa final'!$Q$17),"")</f>
        <v/>
      </c>
      <c r="M47" s="64" t="str">
        <f>IF(AND('Mapa final'!$AA$18="Muy Baja",'Mapa final'!$AC$18="Leve"),CONCATENATE("R2C",'Mapa final'!$Q$18),"")</f>
        <v/>
      </c>
      <c r="N47" s="64" t="str">
        <f>IF(AND('Mapa final'!$AA$19="Muy Baja",'Mapa final'!$AC$19="Leve"),CONCATENATE("R2C",'Mapa final'!$Q$19),"")</f>
        <v/>
      </c>
      <c r="O47" s="65" t="str">
        <f>IF(AND('Mapa final'!$AA$20="Muy Baja",'Mapa final'!$AC$20="Leve"),CONCATENATE("R2C",'Mapa final'!$Q$20),"")</f>
        <v/>
      </c>
      <c r="P47" s="63" t="str">
        <f ca="1">IF(AND('Mapa final'!$AA$15="Muy Baja",'Mapa final'!$AC$15="Menor"),CONCATENATE("R2C",'Mapa final'!$Q$15),"")</f>
        <v/>
      </c>
      <c r="Q47" s="64" t="str">
        <f ca="1">IF(AND('Mapa final'!$AA$16="Muy Baja",'Mapa final'!$AC$16="Menor"),CONCATENATE("R2C",'Mapa final'!$Q$16),"")</f>
        <v/>
      </c>
      <c r="R47" s="64" t="str">
        <f>IF(AND('Mapa final'!$AA$17="Muy Baja",'Mapa final'!$AC$17="Menor"),CONCATENATE("R2C",'Mapa final'!$Q$17),"")</f>
        <v/>
      </c>
      <c r="S47" s="64" t="str">
        <f>IF(AND('Mapa final'!$AA$18="Muy Baja",'Mapa final'!$AC$18="Menor"),CONCATENATE("R2C",'Mapa final'!$Q$18),"")</f>
        <v/>
      </c>
      <c r="T47" s="64" t="str">
        <f>IF(AND('Mapa final'!$AA$19="Muy Baja",'Mapa final'!$AC$19="Menor"),CONCATENATE("R2C",'Mapa final'!$Q$19),"")</f>
        <v/>
      </c>
      <c r="U47" s="65" t="str">
        <f>IF(AND('Mapa final'!$AA$20="Muy Baja",'Mapa final'!$AC$20="Menor"),CONCATENATE("R2C",'Mapa final'!$Q$20),"")</f>
        <v/>
      </c>
      <c r="V47" s="54" t="str">
        <f ca="1">IF(AND('Mapa final'!$AA$15="Muy Baja",'Mapa final'!$AC$15="Moderado"),CONCATENATE("R2C",'Mapa final'!$Q$15),"")</f>
        <v/>
      </c>
      <c r="W47" s="55" t="str">
        <f ca="1">IF(AND('Mapa final'!$AA$16="Muy Baja",'Mapa final'!$AC$16="Moderado"),CONCATENATE("R2C",'Mapa final'!$Q$16),"")</f>
        <v/>
      </c>
      <c r="X47" s="55" t="str">
        <f>IF(AND('Mapa final'!$AA$17="Muy Baja",'Mapa final'!$AC$17="Moderado"),CONCATENATE("R2C",'Mapa final'!$Q$17),"")</f>
        <v/>
      </c>
      <c r="Y47" s="55" t="str">
        <f>IF(AND('Mapa final'!$AA$18="Muy Baja",'Mapa final'!$AC$18="Moderado"),CONCATENATE("R2C",'Mapa final'!$Q$18),"")</f>
        <v/>
      </c>
      <c r="Z47" s="55" t="str">
        <f>IF(AND('Mapa final'!$AA$19="Muy Baja",'Mapa final'!$AC$19="Moderado"),CONCATENATE("R2C",'Mapa final'!$Q$19),"")</f>
        <v/>
      </c>
      <c r="AA47" s="56" t="str">
        <f>IF(AND('Mapa final'!$AA$20="Muy Baja",'Mapa final'!$AC$20="Moderado"),CONCATENATE("R2C",'Mapa final'!$Q$20),"")</f>
        <v/>
      </c>
      <c r="AB47" s="38" t="str">
        <f ca="1">IF(AND('Mapa final'!$AA$15="Muy Baja",'Mapa final'!$AC$15="Mayor"),CONCATENATE("R2C",'Mapa final'!$Q$15),"")</f>
        <v/>
      </c>
      <c r="AC47" s="39" t="str">
        <f ca="1">IF(AND('Mapa final'!$AA$16="Muy Baja",'Mapa final'!$AC$16="Mayor"),CONCATENATE("R2C",'Mapa final'!$Q$16),"")</f>
        <v/>
      </c>
      <c r="AD47" s="39" t="str">
        <f>IF(AND('Mapa final'!$AA$17="Muy Baja",'Mapa final'!$AC$17="Mayor"),CONCATENATE("R2C",'Mapa final'!$Q$17),"")</f>
        <v/>
      </c>
      <c r="AE47" s="39" t="str">
        <f>IF(AND('Mapa final'!$AA$18="Muy Baja",'Mapa final'!$AC$18="Mayor"),CONCATENATE("R2C",'Mapa final'!$Q$18),"")</f>
        <v/>
      </c>
      <c r="AF47" s="39" t="str">
        <f>IF(AND('Mapa final'!$AA$19="Muy Baja",'Mapa final'!$AC$19="Mayor"),CONCATENATE("R2C",'Mapa final'!$Q$19),"")</f>
        <v/>
      </c>
      <c r="AG47" s="40" t="str">
        <f>IF(AND('Mapa final'!$AA$20="Muy Baja",'Mapa final'!$AC$20="Mayor"),CONCATENATE("R2C",'Mapa final'!$Q$20),"")</f>
        <v/>
      </c>
      <c r="AH47" s="41" t="str">
        <f ca="1">IF(AND('Mapa final'!$AA$15="Muy Baja",'Mapa final'!$AC$15="Catastrófico"),CONCATENATE("R2C",'Mapa final'!$Q$15),"")</f>
        <v/>
      </c>
      <c r="AI47" s="42" t="str">
        <f ca="1">IF(AND('Mapa final'!$AA$16="Muy Baja",'Mapa final'!$AC$16="Catastrófico"),CONCATENATE("R2C",'Mapa final'!$Q$16),"")</f>
        <v/>
      </c>
      <c r="AJ47" s="42" t="str">
        <f>IF(AND('Mapa final'!$AA$17="Muy Baja",'Mapa final'!$AC$17="Catastrófico"),CONCATENATE("R2C",'Mapa final'!$Q$17),"")</f>
        <v/>
      </c>
      <c r="AK47" s="42" t="str">
        <f>IF(AND('Mapa final'!$AA$18="Muy Baja",'Mapa final'!$AC$18="Catastrófico"),CONCATENATE("R2C",'Mapa final'!$Q$18),"")</f>
        <v/>
      </c>
      <c r="AL47" s="42" t="str">
        <f>IF(AND('Mapa final'!$AA$19="Muy Baja",'Mapa final'!$AC$19="Catastrófico"),CONCATENATE("R2C",'Mapa final'!$Q$19),"")</f>
        <v/>
      </c>
      <c r="AM47" s="43" t="str">
        <f>IF(AND('Mapa final'!$AA$20="Muy Baja",'Mapa final'!$AC$20="Catastrófico"),CONCATENATE("R2C",'Mapa final'!$Q$20),"")</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34"/>
      <c r="C48" s="234"/>
      <c r="D48" s="235"/>
      <c r="E48" s="333"/>
      <c r="F48" s="334"/>
      <c r="G48" s="334"/>
      <c r="H48" s="334"/>
      <c r="I48" s="351"/>
      <c r="J48" s="63" t="str">
        <f ca="1">IF(AND('Mapa final'!$AA$21="Muy Baja",'Mapa final'!$AC$21="Leve"),CONCATENATE("R3C",'Mapa final'!$Q$21),"")</f>
        <v/>
      </c>
      <c r="K48" s="64" t="str">
        <f>IF(AND('Mapa final'!$AA$22="Muy Baja",'Mapa final'!$AC$22="Leve"),CONCATENATE("R3C",'Mapa final'!$Q$22),"")</f>
        <v>R3C2</v>
      </c>
      <c r="L48" s="64" t="str">
        <f>IF(AND('Mapa final'!$AA$23="Muy Baja",'Mapa final'!$AC$23="Leve"),CONCATENATE("R3C",'Mapa final'!$Q$23),"")</f>
        <v/>
      </c>
      <c r="M48" s="64" t="str">
        <f>IF(AND('Mapa final'!$AA$24="Muy Baja",'Mapa final'!$AC$24="Leve"),CONCATENATE("R3C",'Mapa final'!$Q$24),"")</f>
        <v/>
      </c>
      <c r="N48" s="64" t="str">
        <f>IF(AND('Mapa final'!$AA$25="Muy Baja",'Mapa final'!$AC$25="Leve"),CONCATENATE("R3C",'Mapa final'!$Q$25),"")</f>
        <v/>
      </c>
      <c r="O48" s="65" t="str">
        <f>IF(AND('Mapa final'!$AA$26="Muy Baja",'Mapa final'!$AC$26="Leve"),CONCATENATE("R3C",'Mapa final'!$Q$26),"")</f>
        <v/>
      </c>
      <c r="P48" s="63" t="str">
        <f ca="1">IF(AND('Mapa final'!$AA$21="Muy Baja",'Mapa final'!$AC$21="Menor"),CONCATENATE("R3C",'Mapa final'!$Q$21),"")</f>
        <v/>
      </c>
      <c r="Q48" s="64" t="str">
        <f>IF(AND('Mapa final'!$AA$22="Muy Baja",'Mapa final'!$AC$22="Menor"),CONCATENATE("R3C",'Mapa final'!$Q$22),"")</f>
        <v/>
      </c>
      <c r="R48" s="64" t="str">
        <f>IF(AND('Mapa final'!$AA$23="Muy Baja",'Mapa final'!$AC$23="Menor"),CONCATENATE("R3C",'Mapa final'!$Q$23),"")</f>
        <v/>
      </c>
      <c r="S48" s="64" t="str">
        <f>IF(AND('Mapa final'!$AA$24="Muy Baja",'Mapa final'!$AC$24="Menor"),CONCATENATE("R3C",'Mapa final'!$Q$24),"")</f>
        <v/>
      </c>
      <c r="T48" s="64" t="str">
        <f>IF(AND('Mapa final'!$AA$25="Muy Baja",'Mapa final'!$AC$25="Menor"),CONCATENATE("R3C",'Mapa final'!$Q$25),"")</f>
        <v/>
      </c>
      <c r="U48" s="65" t="str">
        <f>IF(AND('Mapa final'!$AA$26="Muy Baja",'Mapa final'!$AC$26="Menor"),CONCATENATE("R3C",'Mapa final'!$Q$26),"")</f>
        <v/>
      </c>
      <c r="V48" s="54" t="str">
        <f ca="1">IF(AND('Mapa final'!$AA$21="Muy Baja",'Mapa final'!$AC$21="Moderado"),CONCATENATE("R3C",'Mapa final'!$Q$21),"")</f>
        <v/>
      </c>
      <c r="W48" s="55" t="str">
        <f>IF(AND('Mapa final'!$AA$22="Muy Baja",'Mapa final'!$AC$22="Moderado"),CONCATENATE("R3C",'Mapa final'!$Q$22),"")</f>
        <v/>
      </c>
      <c r="X48" s="55" t="str">
        <f>IF(AND('Mapa final'!$AA$23="Muy Baja",'Mapa final'!$AC$23="Moderado"),CONCATENATE("R3C",'Mapa final'!$Q$23),"")</f>
        <v/>
      </c>
      <c r="Y48" s="55" t="str">
        <f>IF(AND('Mapa final'!$AA$24="Muy Baja",'Mapa final'!$AC$24="Moderado"),CONCATENATE("R3C",'Mapa final'!$Q$24),"")</f>
        <v/>
      </c>
      <c r="Z48" s="55" t="str">
        <f>IF(AND('Mapa final'!$AA$25="Muy Baja",'Mapa final'!$AC$25="Moderado"),CONCATENATE("R3C",'Mapa final'!$Q$25),"")</f>
        <v/>
      </c>
      <c r="AA48" s="56" t="str">
        <f>IF(AND('Mapa final'!$AA$26="Muy Baja",'Mapa final'!$AC$26="Moderado"),CONCATENATE("R3C",'Mapa final'!$Q$26),"")</f>
        <v/>
      </c>
      <c r="AB48" s="38" t="str">
        <f ca="1">IF(AND('Mapa final'!$AA$21="Muy Baja",'Mapa final'!$AC$21="Mayor"),CONCATENATE("R3C",'Mapa final'!$Q$21),"")</f>
        <v/>
      </c>
      <c r="AC48" s="39" t="str">
        <f>IF(AND('Mapa final'!$AA$22="Muy Baja",'Mapa final'!$AC$22="Mayor"),CONCATENATE("R3C",'Mapa final'!$Q$22),"")</f>
        <v/>
      </c>
      <c r="AD48" s="39" t="str">
        <f>IF(AND('Mapa final'!$AA$23="Muy Baja",'Mapa final'!$AC$23="Mayor"),CONCATENATE("R3C",'Mapa final'!$Q$23),"")</f>
        <v/>
      </c>
      <c r="AE48" s="39" t="str">
        <f>IF(AND('Mapa final'!$AA$24="Muy Baja",'Mapa final'!$AC$24="Mayor"),CONCATENATE("R3C",'Mapa final'!$Q$24),"")</f>
        <v/>
      </c>
      <c r="AF48" s="39" t="str">
        <f>IF(AND('Mapa final'!$AA$25="Muy Baja",'Mapa final'!$AC$25="Mayor"),CONCATENATE("R3C",'Mapa final'!$Q$25),"")</f>
        <v/>
      </c>
      <c r="AG48" s="40" t="str">
        <f>IF(AND('Mapa final'!$AA$26="Muy Baja",'Mapa final'!$AC$26="Mayor"),CONCATENATE("R3C",'Mapa final'!$Q$26),"")</f>
        <v/>
      </c>
      <c r="AH48" s="41" t="str">
        <f ca="1">IF(AND('Mapa final'!$AA$21="Muy Baja",'Mapa final'!$AC$21="Catastrófico"),CONCATENATE("R3C",'Mapa final'!$Q$21),"")</f>
        <v/>
      </c>
      <c r="AI48" s="42" t="str">
        <f>IF(AND('Mapa final'!$AA$22="Muy Baja",'Mapa final'!$AC$22="Catastrófico"),CONCATENATE("R3C",'Mapa final'!$Q$22),"")</f>
        <v/>
      </c>
      <c r="AJ48" s="42" t="str">
        <f>IF(AND('Mapa final'!$AA$23="Muy Baja",'Mapa final'!$AC$23="Catastrófico"),CONCATENATE("R3C",'Mapa final'!$Q$23),"")</f>
        <v/>
      </c>
      <c r="AK48" s="42" t="str">
        <f>IF(AND('Mapa final'!$AA$24="Muy Baja",'Mapa final'!$AC$24="Catastrófico"),CONCATENATE("R3C",'Mapa final'!$Q$24),"")</f>
        <v/>
      </c>
      <c r="AL48" s="42" t="str">
        <f>IF(AND('Mapa final'!$AA$25="Muy Baja",'Mapa final'!$AC$25="Catastrófico"),CONCATENATE("R3C",'Mapa final'!$Q$25),"")</f>
        <v/>
      </c>
      <c r="AM48" s="43" t="str">
        <f>IF(AND('Mapa final'!$AA$26="Muy Baja",'Mapa final'!$AC$26="Catastrófico"),CONCATENATE("R3C",'Mapa final'!$Q$26),"")</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34"/>
      <c r="C49" s="234"/>
      <c r="D49" s="235"/>
      <c r="E49" s="335"/>
      <c r="F49" s="336"/>
      <c r="G49" s="336"/>
      <c r="H49" s="336"/>
      <c r="I49" s="351"/>
      <c r="J49" s="63" t="str">
        <f ca="1">IF(AND('Mapa final'!$AA$27="Muy Baja",'Mapa final'!$AC$27="Leve"),CONCATENATE("R4C",'Mapa final'!$Q$27),"")</f>
        <v/>
      </c>
      <c r="K49" s="64" t="str">
        <f ca="1">IF(AND('Mapa final'!$AA$28="Muy Baja",'Mapa final'!$AC$28="Leve"),CONCATENATE("R4C",'Mapa final'!$Q$28),"")</f>
        <v/>
      </c>
      <c r="L49" s="64" t="str">
        <f ca="1">IF(AND('Mapa final'!$AA$29="Muy Baja",'Mapa final'!$AC$29="Leve"),CONCATENATE("R4C",'Mapa final'!$Q$29),"")</f>
        <v/>
      </c>
      <c r="M49" s="64" t="str">
        <f>IF(AND('Mapa final'!$AA$30="Muy Baja",'Mapa final'!$AC$30="Leve"),CONCATENATE("R4C",'Mapa final'!$Q$30),"")</f>
        <v/>
      </c>
      <c r="N49" s="64" t="str">
        <f>IF(AND('Mapa final'!$AA$31="Muy Baja",'Mapa final'!$AC$31="Leve"),CONCATENATE("R4C",'Mapa final'!$Q$31),"")</f>
        <v/>
      </c>
      <c r="O49" s="65" t="str">
        <f>IF(AND('Mapa final'!$AA$32="Muy Baja",'Mapa final'!$AC$32="Leve"),CONCATENATE("R4C",'Mapa final'!$Q$32),"")</f>
        <v/>
      </c>
      <c r="P49" s="63" t="str">
        <f ca="1">IF(AND('Mapa final'!$AA$27="Muy Baja",'Mapa final'!$AC$27="Menor"),CONCATENATE("R4C",'Mapa final'!$Q$27),"")</f>
        <v/>
      </c>
      <c r="Q49" s="64" t="str">
        <f ca="1">IF(AND('Mapa final'!$AA$28="Muy Baja",'Mapa final'!$AC$28="Menor"),CONCATENATE("R4C",'Mapa final'!$Q$28),"")</f>
        <v>R4C2</v>
      </c>
      <c r="R49" s="64" t="str">
        <f ca="1">IF(AND('Mapa final'!$AA$29="Muy Baja",'Mapa final'!$AC$29="Menor"),CONCATENATE("R4C",'Mapa final'!$Q$29),"")</f>
        <v>R4C3</v>
      </c>
      <c r="S49" s="64" t="str">
        <f>IF(AND('Mapa final'!$AA$30="Muy Baja",'Mapa final'!$AC$30="Menor"),CONCATENATE("R4C",'Mapa final'!$Q$30),"")</f>
        <v/>
      </c>
      <c r="T49" s="64" t="str">
        <f>IF(AND('Mapa final'!$AA$31="Muy Baja",'Mapa final'!$AC$31="Menor"),CONCATENATE("R4C",'Mapa final'!$Q$31),"")</f>
        <v/>
      </c>
      <c r="U49" s="65" t="str">
        <f>IF(AND('Mapa final'!$AA$32="Muy Baja",'Mapa final'!$AC$32="Menor"),CONCATENATE("R4C",'Mapa final'!$Q$32),"")</f>
        <v/>
      </c>
      <c r="V49" s="54" t="str">
        <f ca="1">IF(AND('Mapa final'!$AA$27="Muy Baja",'Mapa final'!$AC$27="Moderado"),CONCATENATE("R4C",'Mapa final'!$Q$27),"")</f>
        <v/>
      </c>
      <c r="W49" s="55" t="str">
        <f ca="1">IF(AND('Mapa final'!$AA$28="Muy Baja",'Mapa final'!$AC$28="Moderado"),CONCATENATE("R4C",'Mapa final'!$Q$28),"")</f>
        <v/>
      </c>
      <c r="X49" s="55" t="str">
        <f ca="1">IF(AND('Mapa final'!$AA$29="Muy Baja",'Mapa final'!$AC$29="Moderado"),CONCATENATE("R4C",'Mapa final'!$Q$29),"")</f>
        <v/>
      </c>
      <c r="Y49" s="55" t="str">
        <f>IF(AND('Mapa final'!$AA$30="Muy Baja",'Mapa final'!$AC$30="Moderado"),CONCATENATE("R4C",'Mapa final'!$Q$30),"")</f>
        <v/>
      </c>
      <c r="Z49" s="55" t="str">
        <f>IF(AND('Mapa final'!$AA$31="Muy Baja",'Mapa final'!$AC$31="Moderado"),CONCATENATE("R4C",'Mapa final'!$Q$31),"")</f>
        <v/>
      </c>
      <c r="AA49" s="56" t="str">
        <f>IF(AND('Mapa final'!$AA$32="Muy Baja",'Mapa final'!$AC$32="Moderado"),CONCATENATE("R4C",'Mapa final'!$Q$32),"")</f>
        <v/>
      </c>
      <c r="AB49" s="38" t="str">
        <f ca="1">IF(AND('Mapa final'!$AA$27="Muy Baja",'Mapa final'!$AC$27="Mayor"),CONCATENATE("R4C",'Mapa final'!$Q$27),"")</f>
        <v/>
      </c>
      <c r="AC49" s="39" t="str">
        <f ca="1">IF(AND('Mapa final'!$AA$28="Muy Baja",'Mapa final'!$AC$28="Mayor"),CONCATENATE("R4C",'Mapa final'!$Q$28),"")</f>
        <v/>
      </c>
      <c r="AD49" s="39" t="str">
        <f ca="1">IF(AND('Mapa final'!$AA$29="Muy Baja",'Mapa final'!$AC$29="Mayor"),CONCATENATE("R4C",'Mapa final'!$Q$29),"")</f>
        <v/>
      </c>
      <c r="AE49" s="39" t="str">
        <f>IF(AND('Mapa final'!$AA$30="Muy Baja",'Mapa final'!$AC$30="Mayor"),CONCATENATE("R4C",'Mapa final'!$Q$30),"")</f>
        <v/>
      </c>
      <c r="AF49" s="39" t="str">
        <f>IF(AND('Mapa final'!$AA$31="Muy Baja",'Mapa final'!$AC$31="Mayor"),CONCATENATE("R4C",'Mapa final'!$Q$31),"")</f>
        <v/>
      </c>
      <c r="AG49" s="40" t="str">
        <f>IF(AND('Mapa final'!$AA$32="Muy Baja",'Mapa final'!$AC$32="Mayor"),CONCATENATE("R4C",'Mapa final'!$Q$32),"")</f>
        <v/>
      </c>
      <c r="AH49" s="41" t="str">
        <f ca="1">IF(AND('Mapa final'!$AA$27="Muy Baja",'Mapa final'!$AC$27="Catastrófico"),CONCATENATE("R4C",'Mapa final'!$Q$27),"")</f>
        <v/>
      </c>
      <c r="AI49" s="42" t="str">
        <f ca="1">IF(AND('Mapa final'!$AA$28="Muy Baja",'Mapa final'!$AC$28="Catastrófico"),CONCATENATE("R4C",'Mapa final'!$Q$28),"")</f>
        <v/>
      </c>
      <c r="AJ49" s="42" t="str">
        <f ca="1">IF(AND('Mapa final'!$AA$29="Muy Baja",'Mapa final'!$AC$29="Catastrófico"),CONCATENATE("R4C",'Mapa final'!$Q$29),"")</f>
        <v/>
      </c>
      <c r="AK49" s="42" t="str">
        <f>IF(AND('Mapa final'!$AA$30="Muy Baja",'Mapa final'!$AC$30="Catastrófico"),CONCATENATE("R4C",'Mapa final'!$Q$30),"")</f>
        <v/>
      </c>
      <c r="AL49" s="42" t="str">
        <f>IF(AND('Mapa final'!$AA$31="Muy Baja",'Mapa final'!$AC$31="Catastrófico"),CONCATENATE("R4C",'Mapa final'!$Q$31),"")</f>
        <v/>
      </c>
      <c r="AM49" s="43" t="str">
        <f>IF(AND('Mapa final'!$AA$32="Muy Baja",'Mapa final'!$AC$32="Catastrófico"),CONCATENATE("R4C",'Mapa final'!$Q$32),"")</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34"/>
      <c r="C50" s="234"/>
      <c r="D50" s="235"/>
      <c r="E50" s="335"/>
      <c r="F50" s="336"/>
      <c r="G50" s="336"/>
      <c r="H50" s="336"/>
      <c r="I50" s="351"/>
      <c r="J50" s="63" t="str">
        <f ca="1">IF(AND('Mapa final'!$AA$33="Muy Baja",'Mapa final'!$AC$33="Leve"),CONCATENATE("R5C",'Mapa final'!$Q$33),"")</f>
        <v/>
      </c>
      <c r="K50" s="64" t="str">
        <f ca="1">IF(AND('Mapa final'!$AA$34="Muy Baja",'Mapa final'!$AC$34="Leve"),CONCATENATE("R5C",'Mapa final'!$Q$34),"")</f>
        <v/>
      </c>
      <c r="L50" s="64" t="str">
        <f>IF(AND('Mapa final'!$AA$35="Muy Baja",'Mapa final'!$AC$35="Leve"),CONCATENATE("R5C",'Mapa final'!$Q$35),"")</f>
        <v/>
      </c>
      <c r="M50" s="64" t="str">
        <f>IF(AND('Mapa final'!$AA$36="Muy Baja",'Mapa final'!$AC$36="Leve"),CONCATENATE("R5C",'Mapa final'!$Q$36),"")</f>
        <v/>
      </c>
      <c r="N50" s="64" t="str">
        <f>IF(AND('Mapa final'!$AA$37="Muy Baja",'Mapa final'!$AC$37="Leve"),CONCATENATE("R5C",'Mapa final'!$Q$37),"")</f>
        <v/>
      </c>
      <c r="O50" s="65" t="str">
        <f>IF(AND('Mapa final'!$AA$38="Muy Baja",'Mapa final'!$AC$38="Leve"),CONCATENATE("R5C",'Mapa final'!$Q$38),"")</f>
        <v/>
      </c>
      <c r="P50" s="63" t="str">
        <f ca="1">IF(AND('Mapa final'!$AA$33="Muy Baja",'Mapa final'!$AC$33="Menor"),CONCATENATE("R5C",'Mapa final'!$Q$33),"")</f>
        <v/>
      </c>
      <c r="Q50" s="64" t="str">
        <f ca="1">IF(AND('Mapa final'!$AA$34="Muy Baja",'Mapa final'!$AC$34="Menor"),CONCATENATE("R5C",'Mapa final'!$Q$34),"")</f>
        <v/>
      </c>
      <c r="R50" s="64" t="str">
        <f>IF(AND('Mapa final'!$AA$35="Muy Baja",'Mapa final'!$AC$35="Menor"),CONCATENATE("R5C",'Mapa final'!$Q$35),"")</f>
        <v/>
      </c>
      <c r="S50" s="64" t="str">
        <f>IF(AND('Mapa final'!$AA$36="Muy Baja",'Mapa final'!$AC$36="Menor"),CONCATENATE("R5C",'Mapa final'!$Q$36),"")</f>
        <v/>
      </c>
      <c r="T50" s="64" t="str">
        <f>IF(AND('Mapa final'!$AA$37="Muy Baja",'Mapa final'!$AC$37="Menor"),CONCATENATE("R5C",'Mapa final'!$Q$37),"")</f>
        <v/>
      </c>
      <c r="U50" s="65" t="str">
        <f>IF(AND('Mapa final'!$AA$38="Muy Baja",'Mapa final'!$AC$38="Menor"),CONCATENATE("R5C",'Mapa final'!$Q$38),"")</f>
        <v/>
      </c>
      <c r="V50" s="54" t="str">
        <f ca="1">IF(AND('Mapa final'!$AA$33="Muy Baja",'Mapa final'!$AC$33="Moderado"),CONCATENATE("R5C",'Mapa final'!$Q$33),"")</f>
        <v/>
      </c>
      <c r="W50" s="55" t="str">
        <f ca="1">IF(AND('Mapa final'!$AA$34="Muy Baja",'Mapa final'!$AC$34="Moderado"),CONCATENATE("R5C",'Mapa final'!$Q$34),"")</f>
        <v/>
      </c>
      <c r="X50" s="55" t="str">
        <f>IF(AND('Mapa final'!$AA$35="Muy Baja",'Mapa final'!$AC$35="Moderado"),CONCATENATE("R5C",'Mapa final'!$Q$35),"")</f>
        <v/>
      </c>
      <c r="Y50" s="55" t="str">
        <f>IF(AND('Mapa final'!$AA$36="Muy Baja",'Mapa final'!$AC$36="Moderado"),CONCATENATE("R5C",'Mapa final'!$Q$36),"")</f>
        <v/>
      </c>
      <c r="Z50" s="55" t="str">
        <f>IF(AND('Mapa final'!$AA$37="Muy Baja",'Mapa final'!$AC$37="Moderado"),CONCATENATE("R5C",'Mapa final'!$Q$37),"")</f>
        <v/>
      </c>
      <c r="AA50" s="56" t="str">
        <f>IF(AND('Mapa final'!$AA$38="Muy Baja",'Mapa final'!$AC$38="Moderado"),CONCATENATE("R5C",'Mapa final'!$Q$38),"")</f>
        <v/>
      </c>
      <c r="AB50" s="38" t="str">
        <f ca="1">IF(AND('Mapa final'!$AA$33="Muy Baja",'Mapa final'!$AC$33="Mayor"),CONCATENATE("R5C",'Mapa final'!$Q$33),"")</f>
        <v/>
      </c>
      <c r="AC50" s="39" t="str">
        <f ca="1">IF(AND('Mapa final'!$AA$34="Muy Baja",'Mapa final'!$AC$34="Mayor"),CONCATENATE("R5C",'Mapa final'!$Q$34),"")</f>
        <v/>
      </c>
      <c r="AD50" s="44" t="str">
        <f>IF(AND('Mapa final'!$AA$35="Muy Baja",'Mapa final'!$AC$35="Mayor"),CONCATENATE("R5C",'Mapa final'!$Q$35),"")</f>
        <v/>
      </c>
      <c r="AE50" s="44" t="str">
        <f>IF(AND('Mapa final'!$AA$36="Muy Baja",'Mapa final'!$AC$36="Mayor"),CONCATENATE("R5C",'Mapa final'!$Q$36),"")</f>
        <v/>
      </c>
      <c r="AF50" s="44" t="str">
        <f>IF(AND('Mapa final'!$AA$37="Muy Baja",'Mapa final'!$AC$37="Mayor"),CONCATENATE("R5C",'Mapa final'!$Q$37),"")</f>
        <v/>
      </c>
      <c r="AG50" s="40" t="str">
        <f>IF(AND('Mapa final'!$AA$38="Muy Baja",'Mapa final'!$AC$38="Mayor"),CONCATENATE("R5C",'Mapa final'!$Q$38),"")</f>
        <v/>
      </c>
      <c r="AH50" s="41" t="str">
        <f ca="1">IF(AND('Mapa final'!$AA$33="Muy Baja",'Mapa final'!$AC$33="Catastrófico"),CONCATENATE("R5C",'Mapa final'!$Q$33),"")</f>
        <v/>
      </c>
      <c r="AI50" s="42" t="str">
        <f ca="1">IF(AND('Mapa final'!$AA$34="Muy Baja",'Mapa final'!$AC$34="Catastrófico"),CONCATENATE("R5C",'Mapa final'!$Q$34),"")</f>
        <v/>
      </c>
      <c r="AJ50" s="42" t="str">
        <f>IF(AND('Mapa final'!$AA$35="Muy Baja",'Mapa final'!$AC$35="Catastrófico"),CONCATENATE("R5C",'Mapa final'!$Q$35),"")</f>
        <v/>
      </c>
      <c r="AK50" s="42" t="str">
        <f>IF(AND('Mapa final'!$AA$36="Muy Baja",'Mapa final'!$AC$36="Catastrófico"),CONCATENATE("R5C",'Mapa final'!$Q$36),"")</f>
        <v/>
      </c>
      <c r="AL50" s="42" t="str">
        <f>IF(AND('Mapa final'!$AA$37="Muy Baja",'Mapa final'!$AC$37="Catastrófico"),CONCATENATE("R5C",'Mapa final'!$Q$37),"")</f>
        <v/>
      </c>
      <c r="AM50" s="43" t="str">
        <f>IF(AND('Mapa final'!$AA$38="Muy Baja",'Mapa final'!$AC$38="Catastrófico"),CONCATENATE("R5C",'Mapa final'!$Q$38),"")</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34"/>
      <c r="C51" s="234"/>
      <c r="D51" s="235"/>
      <c r="E51" s="335"/>
      <c r="F51" s="336"/>
      <c r="G51" s="336"/>
      <c r="H51" s="336"/>
      <c r="I51" s="351"/>
      <c r="J51" s="63" t="str">
        <f>IF(AND('Mapa final'!$AA$39="Muy Baja",'Mapa final'!$AC$39="Leve"),CONCATENATE("R6C",'Mapa final'!$Q$39),"")</f>
        <v/>
      </c>
      <c r="K51" s="64" t="str">
        <f>IF(AND('Mapa final'!$AA$40="Muy Baja",'Mapa final'!$AC$40="Leve"),CONCATENATE("R6C",'Mapa final'!$Q$40),"")</f>
        <v/>
      </c>
      <c r="L51" s="64" t="str">
        <f>IF(AND('Mapa final'!$AA$41="Muy Baja",'Mapa final'!$AC$41="Leve"),CONCATENATE("R6C",'Mapa final'!$Q$41),"")</f>
        <v/>
      </c>
      <c r="M51" s="64" t="str">
        <f>IF(AND('Mapa final'!$AA$42="Muy Baja",'Mapa final'!$AC$42="Leve"),CONCATENATE("R6C",'Mapa final'!$Q$42),"")</f>
        <v/>
      </c>
      <c r="N51" s="64" t="str">
        <f>IF(AND('Mapa final'!$AA$43="Muy Baja",'Mapa final'!$AC$43="Leve"),CONCATENATE("R6C",'Mapa final'!$Q$43),"")</f>
        <v/>
      </c>
      <c r="O51" s="65" t="str">
        <f>IF(AND('Mapa final'!$AA$44="Muy Baja",'Mapa final'!$AC$44="Leve"),CONCATENATE("R6C",'Mapa final'!$Q$44),"")</f>
        <v/>
      </c>
      <c r="P51" s="63" t="str">
        <f>IF(AND('Mapa final'!$AA$39="Muy Baja",'Mapa final'!$AC$39="Menor"),CONCATENATE("R6C",'Mapa final'!$Q$39),"")</f>
        <v/>
      </c>
      <c r="Q51" s="64" t="str">
        <f>IF(AND('Mapa final'!$AA$40="Muy Baja",'Mapa final'!$AC$40="Menor"),CONCATENATE("R6C",'Mapa final'!$Q$40),"")</f>
        <v/>
      </c>
      <c r="R51" s="64" t="str">
        <f>IF(AND('Mapa final'!$AA$41="Muy Baja",'Mapa final'!$AC$41="Menor"),CONCATENATE("R6C",'Mapa final'!$Q$41),"")</f>
        <v/>
      </c>
      <c r="S51" s="64" t="str">
        <f>IF(AND('Mapa final'!$AA$42="Muy Baja",'Mapa final'!$AC$42="Menor"),CONCATENATE("R6C",'Mapa final'!$Q$42),"")</f>
        <v/>
      </c>
      <c r="T51" s="64" t="str">
        <f>IF(AND('Mapa final'!$AA$43="Muy Baja",'Mapa final'!$AC$43="Menor"),CONCATENATE("R6C",'Mapa final'!$Q$43),"")</f>
        <v/>
      </c>
      <c r="U51" s="65" t="str">
        <f>IF(AND('Mapa final'!$AA$44="Muy Baja",'Mapa final'!$AC$44="Menor"),CONCATENATE("R6C",'Mapa final'!$Q$44),"")</f>
        <v/>
      </c>
      <c r="V51" s="54" t="str">
        <f>IF(AND('Mapa final'!$AA$39="Muy Baja",'Mapa final'!$AC$39="Moderado"),CONCATENATE("R6C",'Mapa final'!$Q$39),"")</f>
        <v/>
      </c>
      <c r="W51" s="55" t="str">
        <f>IF(AND('Mapa final'!$AA$40="Muy Baja",'Mapa final'!$AC$40="Moderado"),CONCATENATE("R6C",'Mapa final'!$Q$40),"")</f>
        <v/>
      </c>
      <c r="X51" s="55" t="str">
        <f>IF(AND('Mapa final'!$AA$41="Muy Baja",'Mapa final'!$AC$41="Moderado"),CONCATENATE("R6C",'Mapa final'!$Q$41),"")</f>
        <v/>
      </c>
      <c r="Y51" s="55" t="str">
        <f>IF(AND('Mapa final'!$AA$42="Muy Baja",'Mapa final'!$AC$42="Moderado"),CONCATENATE("R6C",'Mapa final'!$Q$42),"")</f>
        <v/>
      </c>
      <c r="Z51" s="55" t="str">
        <f>IF(AND('Mapa final'!$AA$43="Muy Baja",'Mapa final'!$AC$43="Moderado"),CONCATENATE("R6C",'Mapa final'!$Q$43),"")</f>
        <v/>
      </c>
      <c r="AA51" s="56" t="str">
        <f>IF(AND('Mapa final'!$AA$44="Muy Baja",'Mapa final'!$AC$44="Moderado"),CONCATENATE("R6C",'Mapa final'!$Q$44),"")</f>
        <v/>
      </c>
      <c r="AB51" s="38" t="str">
        <f>IF(AND('Mapa final'!$AA$39="Muy Baja",'Mapa final'!$AC$39="Mayor"),CONCATENATE("R6C",'Mapa final'!$Q$39),"")</f>
        <v/>
      </c>
      <c r="AC51" s="39" t="str">
        <f>IF(AND('Mapa final'!$AA$40="Muy Baja",'Mapa final'!$AC$40="Mayor"),CONCATENATE("R6C",'Mapa final'!$Q$40),"")</f>
        <v/>
      </c>
      <c r="AD51" s="44" t="str">
        <f>IF(AND('Mapa final'!$AA$41="Muy Baja",'Mapa final'!$AC$41="Mayor"),CONCATENATE("R6C",'Mapa final'!$Q$41),"")</f>
        <v/>
      </c>
      <c r="AE51" s="44" t="str">
        <f>IF(AND('Mapa final'!$AA$42="Muy Baja",'Mapa final'!$AC$42="Mayor"),CONCATENATE("R6C",'Mapa final'!$Q$42),"")</f>
        <v/>
      </c>
      <c r="AF51" s="44" t="str">
        <f>IF(AND('Mapa final'!$AA$43="Muy Baja",'Mapa final'!$AC$43="Mayor"),CONCATENATE("R6C",'Mapa final'!$Q$43),"")</f>
        <v/>
      </c>
      <c r="AG51" s="40" t="str">
        <f>IF(AND('Mapa final'!$AA$44="Muy Baja",'Mapa final'!$AC$44="Mayor"),CONCATENATE("R6C",'Mapa final'!$Q$44),"")</f>
        <v/>
      </c>
      <c r="AH51" s="41" t="str">
        <f>IF(AND('Mapa final'!$AA$39="Muy Baja",'Mapa final'!$AC$39="Catastrófico"),CONCATENATE("R6C",'Mapa final'!$Q$39),"")</f>
        <v/>
      </c>
      <c r="AI51" s="42" t="str">
        <f>IF(AND('Mapa final'!$AA$40="Muy Baja",'Mapa final'!$AC$40="Catastrófico"),CONCATENATE("R6C",'Mapa final'!$Q$40),"")</f>
        <v/>
      </c>
      <c r="AJ51" s="42" t="str">
        <f>IF(AND('Mapa final'!$AA$41="Muy Baja",'Mapa final'!$AC$41="Catastrófico"),CONCATENATE("R6C",'Mapa final'!$Q$41),"")</f>
        <v/>
      </c>
      <c r="AK51" s="42" t="str">
        <f>IF(AND('Mapa final'!$AA$42="Muy Baja",'Mapa final'!$AC$42="Catastrófico"),CONCATENATE("R6C",'Mapa final'!$Q$42),"")</f>
        <v/>
      </c>
      <c r="AL51" s="42" t="str">
        <f>IF(AND('Mapa final'!$AA$43="Muy Baja",'Mapa final'!$AC$43="Catastrófico"),CONCATENATE("R6C",'Mapa final'!$Q$43),"")</f>
        <v/>
      </c>
      <c r="AM51" s="43" t="str">
        <f>IF(AND('Mapa final'!$AA$44="Muy Baja",'Mapa final'!$AC$44="Catastrófico"),CONCATENATE("R6C",'Mapa final'!$Q$44),"")</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34"/>
      <c r="C52" s="234"/>
      <c r="D52" s="235"/>
      <c r="E52" s="335"/>
      <c r="F52" s="336"/>
      <c r="G52" s="336"/>
      <c r="H52" s="336"/>
      <c r="I52" s="351"/>
      <c r="J52" s="63" t="str">
        <f>IF(AND('Mapa final'!$AA$45="Muy Baja",'Mapa final'!$AC$45="Leve"),CONCATENATE("R7C",'Mapa final'!$Q$45),"")</f>
        <v/>
      </c>
      <c r="K52" s="64" t="str">
        <f>IF(AND('Mapa final'!$AA$46="Muy Baja",'Mapa final'!$AC$46="Leve"),CONCATENATE("R7C",'Mapa final'!$Q$46),"")</f>
        <v/>
      </c>
      <c r="L52" s="64" t="str">
        <f>IF(AND('Mapa final'!$AA$47="Muy Baja",'Mapa final'!$AC$47="Leve"),CONCATENATE("R7C",'Mapa final'!$Q$47),"")</f>
        <v/>
      </c>
      <c r="M52" s="64" t="str">
        <f>IF(AND('Mapa final'!$AA$48="Muy Baja",'Mapa final'!$AC$48="Leve"),CONCATENATE("R7C",'Mapa final'!$Q$48),"")</f>
        <v/>
      </c>
      <c r="N52" s="64" t="str">
        <f>IF(AND('Mapa final'!$AA$49="Muy Baja",'Mapa final'!$AC$49="Leve"),CONCATENATE("R7C",'Mapa final'!$Q$49),"")</f>
        <v/>
      </c>
      <c r="O52" s="65" t="str">
        <f>IF(AND('Mapa final'!$AA$50="Muy Baja",'Mapa final'!$AC$50="Leve"),CONCATENATE("R7C",'Mapa final'!$Q$50),"")</f>
        <v/>
      </c>
      <c r="P52" s="63" t="str">
        <f>IF(AND('Mapa final'!$AA$45="Muy Baja",'Mapa final'!$AC$45="Menor"),CONCATENATE("R7C",'Mapa final'!$Q$45),"")</f>
        <v/>
      </c>
      <c r="Q52" s="64" t="str">
        <f>IF(AND('Mapa final'!$AA$46="Muy Baja",'Mapa final'!$AC$46="Menor"),CONCATENATE("R7C",'Mapa final'!$Q$46),"")</f>
        <v/>
      </c>
      <c r="R52" s="64" t="str">
        <f>IF(AND('Mapa final'!$AA$47="Muy Baja",'Mapa final'!$AC$47="Menor"),CONCATENATE("R7C",'Mapa final'!$Q$47),"")</f>
        <v/>
      </c>
      <c r="S52" s="64" t="str">
        <f>IF(AND('Mapa final'!$AA$48="Muy Baja",'Mapa final'!$AC$48="Menor"),CONCATENATE("R7C",'Mapa final'!$Q$48),"")</f>
        <v/>
      </c>
      <c r="T52" s="64" t="str">
        <f>IF(AND('Mapa final'!$AA$49="Muy Baja",'Mapa final'!$AC$49="Menor"),CONCATENATE("R7C",'Mapa final'!$Q$49),"")</f>
        <v/>
      </c>
      <c r="U52" s="65" t="str">
        <f>IF(AND('Mapa final'!$AA$50="Muy Baja",'Mapa final'!$AC$50="Menor"),CONCATENATE("R7C",'Mapa final'!$Q$50),"")</f>
        <v/>
      </c>
      <c r="V52" s="54" t="str">
        <f>IF(AND('Mapa final'!$AA$45="Muy Baja",'Mapa final'!$AC$45="Moderado"),CONCATENATE("R7C",'Mapa final'!$Q$45),"")</f>
        <v/>
      </c>
      <c r="W52" s="55" t="str">
        <f>IF(AND('Mapa final'!$AA$46="Muy Baja",'Mapa final'!$AC$46="Moderado"),CONCATENATE("R7C",'Mapa final'!$Q$46),"")</f>
        <v/>
      </c>
      <c r="X52" s="55" t="str">
        <f>IF(AND('Mapa final'!$AA$47="Muy Baja",'Mapa final'!$AC$47="Moderado"),CONCATENATE("R7C",'Mapa final'!$Q$47),"")</f>
        <v/>
      </c>
      <c r="Y52" s="55" t="str">
        <f>IF(AND('Mapa final'!$AA$48="Muy Baja",'Mapa final'!$AC$48="Moderado"),CONCATENATE("R7C",'Mapa final'!$Q$48),"")</f>
        <v/>
      </c>
      <c r="Z52" s="55" t="str">
        <f>IF(AND('Mapa final'!$AA$49="Muy Baja",'Mapa final'!$AC$49="Moderado"),CONCATENATE("R7C",'Mapa final'!$Q$49),"")</f>
        <v/>
      </c>
      <c r="AA52" s="56" t="str">
        <f>IF(AND('Mapa final'!$AA$50="Muy Baja",'Mapa final'!$AC$50="Moderado"),CONCATENATE("R7C",'Mapa final'!$Q$50),"")</f>
        <v/>
      </c>
      <c r="AB52" s="38" t="str">
        <f>IF(AND('Mapa final'!$AA$45="Muy Baja",'Mapa final'!$AC$45="Mayor"),CONCATENATE("R7C",'Mapa final'!$Q$45),"")</f>
        <v/>
      </c>
      <c r="AC52" s="39" t="str">
        <f>IF(AND('Mapa final'!$AA$46="Muy Baja",'Mapa final'!$AC$46="Mayor"),CONCATENATE("R7C",'Mapa final'!$Q$46),"")</f>
        <v/>
      </c>
      <c r="AD52" s="44" t="str">
        <f>IF(AND('Mapa final'!$AA$47="Muy Baja",'Mapa final'!$AC$47="Mayor"),CONCATENATE("R7C",'Mapa final'!$Q$47),"")</f>
        <v/>
      </c>
      <c r="AE52" s="44" t="str">
        <f>IF(AND('Mapa final'!$AA$48="Muy Baja",'Mapa final'!$AC$48="Mayor"),CONCATENATE("R7C",'Mapa final'!$Q$48),"")</f>
        <v/>
      </c>
      <c r="AF52" s="44" t="str">
        <f>IF(AND('Mapa final'!$AA$49="Muy Baja",'Mapa final'!$AC$49="Mayor"),CONCATENATE("R7C",'Mapa final'!$Q$49),"")</f>
        <v/>
      </c>
      <c r="AG52" s="40" t="str">
        <f>IF(AND('Mapa final'!$AA$50="Muy Baja",'Mapa final'!$AC$50="Mayor"),CONCATENATE("R7C",'Mapa final'!$Q$50),"")</f>
        <v/>
      </c>
      <c r="AH52" s="41" t="str">
        <f>IF(AND('Mapa final'!$AA$45="Muy Baja",'Mapa final'!$AC$45="Catastrófico"),CONCATENATE("R7C",'Mapa final'!$Q$45),"")</f>
        <v/>
      </c>
      <c r="AI52" s="42" t="str">
        <f>IF(AND('Mapa final'!$AA$46="Muy Baja",'Mapa final'!$AC$46="Catastrófico"),CONCATENATE("R7C",'Mapa final'!$Q$46),"")</f>
        <v/>
      </c>
      <c r="AJ52" s="42" t="str">
        <f>IF(AND('Mapa final'!$AA$47="Muy Baja",'Mapa final'!$AC$47="Catastrófico"),CONCATENATE("R7C",'Mapa final'!$Q$47),"")</f>
        <v/>
      </c>
      <c r="AK52" s="42" t="str">
        <f>IF(AND('Mapa final'!$AA$48="Muy Baja",'Mapa final'!$AC$48="Catastrófico"),CONCATENATE("R7C",'Mapa final'!$Q$48),"")</f>
        <v/>
      </c>
      <c r="AL52" s="42" t="str">
        <f>IF(AND('Mapa final'!$AA$49="Muy Baja",'Mapa final'!$AC$49="Catastrófico"),CONCATENATE("R7C",'Mapa final'!$Q$49),"")</f>
        <v/>
      </c>
      <c r="AM52" s="43" t="str">
        <f>IF(AND('Mapa final'!$AA$50="Muy Baja",'Mapa final'!$AC$50="Catastrófico"),CONCATENATE("R7C",'Mapa final'!$Q$50),"")</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34"/>
      <c r="C53" s="234"/>
      <c r="D53" s="235"/>
      <c r="E53" s="335"/>
      <c r="F53" s="336"/>
      <c r="G53" s="336"/>
      <c r="H53" s="336"/>
      <c r="I53" s="351"/>
      <c r="J53" s="63" t="str">
        <f>IF(AND('Mapa final'!$AA$51="Muy Baja",'Mapa final'!$AC$51="Leve"),CONCATENATE("R8C",'Mapa final'!$Q$51),"")</f>
        <v/>
      </c>
      <c r="K53" s="64" t="str">
        <f>IF(AND('Mapa final'!$AA$52="Muy Baja",'Mapa final'!$AC$52="Leve"),CONCATENATE("R8C",'Mapa final'!$Q$52),"")</f>
        <v/>
      </c>
      <c r="L53" s="64" t="str">
        <f>IF(AND('Mapa final'!$AA$53="Muy Baja",'Mapa final'!$AC$53="Leve"),CONCATENATE("R8C",'Mapa final'!$Q$53),"")</f>
        <v/>
      </c>
      <c r="M53" s="64" t="str">
        <f>IF(AND('Mapa final'!$AA$54="Muy Baja",'Mapa final'!$AC$54="Leve"),CONCATENATE("R8C",'Mapa final'!$Q$54),"")</f>
        <v/>
      </c>
      <c r="N53" s="64" t="str">
        <f>IF(AND('Mapa final'!$AA$55="Muy Baja",'Mapa final'!$AC$55="Leve"),CONCATENATE("R8C",'Mapa final'!$Q$55),"")</f>
        <v/>
      </c>
      <c r="O53" s="65" t="str">
        <f>IF(AND('Mapa final'!$AA$56="Muy Baja",'Mapa final'!$AC$56="Leve"),CONCATENATE("R8C",'Mapa final'!$Q$56),"")</f>
        <v/>
      </c>
      <c r="P53" s="63" t="str">
        <f>IF(AND('Mapa final'!$AA$51="Muy Baja",'Mapa final'!$AC$51="Menor"),CONCATENATE("R8C",'Mapa final'!$Q$51),"")</f>
        <v/>
      </c>
      <c r="Q53" s="64" t="str">
        <f>IF(AND('Mapa final'!$AA$52="Muy Baja",'Mapa final'!$AC$52="Menor"),CONCATENATE("R8C",'Mapa final'!$Q$52),"")</f>
        <v/>
      </c>
      <c r="R53" s="64" t="str">
        <f>IF(AND('Mapa final'!$AA$53="Muy Baja",'Mapa final'!$AC$53="Menor"),CONCATENATE("R8C",'Mapa final'!$Q$53),"")</f>
        <v/>
      </c>
      <c r="S53" s="64" t="str">
        <f>IF(AND('Mapa final'!$AA$54="Muy Baja",'Mapa final'!$AC$54="Menor"),CONCATENATE("R8C",'Mapa final'!$Q$54),"")</f>
        <v/>
      </c>
      <c r="T53" s="64" t="str">
        <f>IF(AND('Mapa final'!$AA$55="Muy Baja",'Mapa final'!$AC$55="Menor"),CONCATENATE("R8C",'Mapa final'!$Q$55),"")</f>
        <v/>
      </c>
      <c r="U53" s="65" t="str">
        <f>IF(AND('Mapa final'!$AA$56="Muy Baja",'Mapa final'!$AC$56="Menor"),CONCATENATE("R8C",'Mapa final'!$Q$56),"")</f>
        <v/>
      </c>
      <c r="V53" s="54" t="str">
        <f>IF(AND('Mapa final'!$AA$51="Muy Baja",'Mapa final'!$AC$51="Moderado"),CONCATENATE("R8C",'Mapa final'!$Q$51),"")</f>
        <v/>
      </c>
      <c r="W53" s="55" t="str">
        <f>IF(AND('Mapa final'!$AA$52="Muy Baja",'Mapa final'!$AC$52="Moderado"),CONCATENATE("R8C",'Mapa final'!$Q$52),"")</f>
        <v/>
      </c>
      <c r="X53" s="55" t="str">
        <f>IF(AND('Mapa final'!$AA$53="Muy Baja",'Mapa final'!$AC$53="Moderado"),CONCATENATE("R8C",'Mapa final'!$Q$53),"")</f>
        <v/>
      </c>
      <c r="Y53" s="55" t="str">
        <f>IF(AND('Mapa final'!$AA$54="Muy Baja",'Mapa final'!$AC$54="Moderado"),CONCATENATE("R8C",'Mapa final'!$Q$54),"")</f>
        <v/>
      </c>
      <c r="Z53" s="55" t="str">
        <f>IF(AND('Mapa final'!$AA$55="Muy Baja",'Mapa final'!$AC$55="Moderado"),CONCATENATE("R8C",'Mapa final'!$Q$55),"")</f>
        <v/>
      </c>
      <c r="AA53" s="56" t="str">
        <f>IF(AND('Mapa final'!$AA$56="Muy Baja",'Mapa final'!$AC$56="Moderado"),CONCATENATE("R8C",'Mapa final'!$Q$56),"")</f>
        <v/>
      </c>
      <c r="AB53" s="38" t="str">
        <f>IF(AND('Mapa final'!$AA$51="Muy Baja",'Mapa final'!$AC$51="Mayor"),CONCATENATE("R8C",'Mapa final'!$Q$51),"")</f>
        <v/>
      </c>
      <c r="AC53" s="39" t="str">
        <f>IF(AND('Mapa final'!$AA$52="Muy Baja",'Mapa final'!$AC$52="Mayor"),CONCATENATE("R8C",'Mapa final'!$Q$52),"")</f>
        <v/>
      </c>
      <c r="AD53" s="44" t="str">
        <f>IF(AND('Mapa final'!$AA$53="Muy Baja",'Mapa final'!$AC$53="Mayor"),CONCATENATE("R8C",'Mapa final'!$Q$53),"")</f>
        <v/>
      </c>
      <c r="AE53" s="44" t="str">
        <f>IF(AND('Mapa final'!$AA$54="Muy Baja",'Mapa final'!$AC$54="Mayor"),CONCATENATE("R8C",'Mapa final'!$Q$54),"")</f>
        <v/>
      </c>
      <c r="AF53" s="44" t="str">
        <f>IF(AND('Mapa final'!$AA$55="Muy Baja",'Mapa final'!$AC$55="Mayor"),CONCATENATE("R8C",'Mapa final'!$Q$55),"")</f>
        <v/>
      </c>
      <c r="AG53" s="40" t="str">
        <f>IF(AND('Mapa final'!$AA$56="Muy Baja",'Mapa final'!$AC$56="Mayor"),CONCATENATE("R8C",'Mapa final'!$Q$56),"")</f>
        <v/>
      </c>
      <c r="AH53" s="41" t="str">
        <f>IF(AND('Mapa final'!$AA$51="Muy Baja",'Mapa final'!$AC$51="Catastrófico"),CONCATENATE("R8C",'Mapa final'!$Q$51),"")</f>
        <v/>
      </c>
      <c r="AI53" s="42" t="str">
        <f>IF(AND('Mapa final'!$AA$52="Muy Baja",'Mapa final'!$AC$52="Catastrófico"),CONCATENATE("R8C",'Mapa final'!$Q$52),"")</f>
        <v/>
      </c>
      <c r="AJ53" s="42" t="str">
        <f>IF(AND('Mapa final'!$AA$53="Muy Baja",'Mapa final'!$AC$53="Catastrófico"),CONCATENATE("R8C",'Mapa final'!$Q$53),"")</f>
        <v/>
      </c>
      <c r="AK53" s="42" t="str">
        <f>IF(AND('Mapa final'!$AA$54="Muy Baja",'Mapa final'!$AC$54="Catastrófico"),CONCATENATE("R8C",'Mapa final'!$Q$54),"")</f>
        <v/>
      </c>
      <c r="AL53" s="42" t="str">
        <f>IF(AND('Mapa final'!$AA$55="Muy Baja",'Mapa final'!$AC$55="Catastrófico"),CONCATENATE("R8C",'Mapa final'!$Q$55),"")</f>
        <v/>
      </c>
      <c r="AM53" s="43" t="str">
        <f>IF(AND('Mapa final'!$AA$56="Muy Baja",'Mapa final'!$AC$56="Catastrófico"),CONCATENATE("R8C",'Mapa final'!$Q$56),"")</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34"/>
      <c r="C54" s="234"/>
      <c r="D54" s="235"/>
      <c r="E54" s="335"/>
      <c r="F54" s="336"/>
      <c r="G54" s="336"/>
      <c r="H54" s="336"/>
      <c r="I54" s="351"/>
      <c r="J54" s="63" t="str">
        <f>IF(AND('Mapa final'!$AA$57="Muy Baja",'Mapa final'!$AC$57="Leve"),CONCATENATE("R9C",'Mapa final'!$Q$57),"")</f>
        <v/>
      </c>
      <c r="K54" s="64" t="str">
        <f>IF(AND('Mapa final'!$AA$58="Muy Baja",'Mapa final'!$AC$58="Leve"),CONCATENATE("R9C",'Mapa final'!$Q$58),"")</f>
        <v/>
      </c>
      <c r="L54" s="64" t="str">
        <f>IF(AND('Mapa final'!$AA$59="Muy Baja",'Mapa final'!$AC$59="Leve"),CONCATENATE("R9C",'Mapa final'!$Q$59),"")</f>
        <v/>
      </c>
      <c r="M54" s="64" t="str">
        <f>IF(AND('Mapa final'!$AA$60="Muy Baja",'Mapa final'!$AC$60="Leve"),CONCATENATE("R9C",'Mapa final'!$Q$60),"")</f>
        <v/>
      </c>
      <c r="N54" s="64" t="str">
        <f>IF(AND('Mapa final'!$AA$61="Muy Baja",'Mapa final'!$AC$61="Leve"),CONCATENATE("R9C",'Mapa final'!$Q$61),"")</f>
        <v/>
      </c>
      <c r="O54" s="65" t="str">
        <f>IF(AND('Mapa final'!$AA$62="Muy Baja",'Mapa final'!$AC$62="Leve"),CONCATENATE("R9C",'Mapa final'!$Q$62),"")</f>
        <v/>
      </c>
      <c r="P54" s="63" t="str">
        <f>IF(AND('Mapa final'!$AA$57="Muy Baja",'Mapa final'!$AC$57="Menor"),CONCATENATE("R9C",'Mapa final'!$Q$57),"")</f>
        <v/>
      </c>
      <c r="Q54" s="64" t="str">
        <f>IF(AND('Mapa final'!$AA$58="Muy Baja",'Mapa final'!$AC$58="Menor"),CONCATENATE("R9C",'Mapa final'!$Q$58),"")</f>
        <v/>
      </c>
      <c r="R54" s="64" t="str">
        <f>IF(AND('Mapa final'!$AA$59="Muy Baja",'Mapa final'!$AC$59="Menor"),CONCATENATE("R9C",'Mapa final'!$Q$59),"")</f>
        <v/>
      </c>
      <c r="S54" s="64" t="str">
        <f>IF(AND('Mapa final'!$AA$60="Muy Baja",'Mapa final'!$AC$60="Menor"),CONCATENATE("R9C",'Mapa final'!$Q$60),"")</f>
        <v/>
      </c>
      <c r="T54" s="64" t="str">
        <f>IF(AND('Mapa final'!$AA$61="Muy Baja",'Mapa final'!$AC$61="Menor"),CONCATENATE("R9C",'Mapa final'!$Q$61),"")</f>
        <v/>
      </c>
      <c r="U54" s="65" t="str">
        <f>IF(AND('Mapa final'!$AA$62="Muy Baja",'Mapa final'!$AC$62="Menor"),CONCATENATE("R9C",'Mapa final'!$Q$62),"")</f>
        <v/>
      </c>
      <c r="V54" s="54" t="str">
        <f>IF(AND('Mapa final'!$AA$57="Muy Baja",'Mapa final'!$AC$57="Moderado"),CONCATENATE("R9C",'Mapa final'!$Q$57),"")</f>
        <v/>
      </c>
      <c r="W54" s="55" t="str">
        <f>IF(AND('Mapa final'!$AA$58="Muy Baja",'Mapa final'!$AC$58="Moderado"),CONCATENATE("R9C",'Mapa final'!$Q$58),"")</f>
        <v/>
      </c>
      <c r="X54" s="55" t="str">
        <f>IF(AND('Mapa final'!$AA$59="Muy Baja",'Mapa final'!$AC$59="Moderado"),CONCATENATE("R9C",'Mapa final'!$Q$59),"")</f>
        <v/>
      </c>
      <c r="Y54" s="55" t="str">
        <f>IF(AND('Mapa final'!$AA$60="Muy Baja",'Mapa final'!$AC$60="Moderado"),CONCATENATE("R9C",'Mapa final'!$Q$60),"")</f>
        <v/>
      </c>
      <c r="Z54" s="55" t="str">
        <f>IF(AND('Mapa final'!$AA$61="Muy Baja",'Mapa final'!$AC$61="Moderado"),CONCATENATE("R9C",'Mapa final'!$Q$61),"")</f>
        <v/>
      </c>
      <c r="AA54" s="56" t="str">
        <f>IF(AND('Mapa final'!$AA$62="Muy Baja",'Mapa final'!$AC$62="Moderado"),CONCATENATE("R9C",'Mapa final'!$Q$62),"")</f>
        <v/>
      </c>
      <c r="AB54" s="38" t="str">
        <f>IF(AND('Mapa final'!$AA$57="Muy Baja",'Mapa final'!$AC$57="Mayor"),CONCATENATE("R9C",'Mapa final'!$Q$57),"")</f>
        <v/>
      </c>
      <c r="AC54" s="39" t="str">
        <f>IF(AND('Mapa final'!$AA$58="Muy Baja",'Mapa final'!$AC$58="Mayor"),CONCATENATE("R9C",'Mapa final'!$Q$58),"")</f>
        <v/>
      </c>
      <c r="AD54" s="44" t="str">
        <f>IF(AND('Mapa final'!$AA$59="Muy Baja",'Mapa final'!$AC$59="Mayor"),CONCATENATE("R9C",'Mapa final'!$Q$59),"")</f>
        <v/>
      </c>
      <c r="AE54" s="44" t="str">
        <f>IF(AND('Mapa final'!$AA$60="Muy Baja",'Mapa final'!$AC$60="Mayor"),CONCATENATE("R9C",'Mapa final'!$Q$60),"")</f>
        <v/>
      </c>
      <c r="AF54" s="44" t="str">
        <f>IF(AND('Mapa final'!$AA$61="Muy Baja",'Mapa final'!$AC$61="Mayor"),CONCATENATE("R9C",'Mapa final'!$Q$61),"")</f>
        <v/>
      </c>
      <c r="AG54" s="40" t="str">
        <f>IF(AND('Mapa final'!$AA$62="Muy Baja",'Mapa final'!$AC$62="Mayor"),CONCATENATE("R9C",'Mapa final'!$Q$62),"")</f>
        <v/>
      </c>
      <c r="AH54" s="41" t="str">
        <f>IF(AND('Mapa final'!$AA$57="Muy Baja",'Mapa final'!$AC$57="Catastrófico"),CONCATENATE("R9C",'Mapa final'!$Q$57),"")</f>
        <v/>
      </c>
      <c r="AI54" s="42" t="str">
        <f>IF(AND('Mapa final'!$AA$58="Muy Baja",'Mapa final'!$AC$58="Catastrófico"),CONCATENATE("R9C",'Mapa final'!$Q$58),"")</f>
        <v/>
      </c>
      <c r="AJ54" s="42" t="str">
        <f>IF(AND('Mapa final'!$AA$59="Muy Baja",'Mapa final'!$AC$59="Catastrófico"),CONCATENATE("R9C",'Mapa final'!$Q$59),"")</f>
        <v/>
      </c>
      <c r="AK54" s="42" t="str">
        <f>IF(AND('Mapa final'!$AA$60="Muy Baja",'Mapa final'!$AC$60="Catastrófico"),CONCATENATE("R9C",'Mapa final'!$Q$60),"")</f>
        <v/>
      </c>
      <c r="AL54" s="42" t="str">
        <f>IF(AND('Mapa final'!$AA$61="Muy Baja",'Mapa final'!$AC$61="Catastrófico"),CONCATENATE("R9C",'Mapa final'!$Q$61),"")</f>
        <v/>
      </c>
      <c r="AM54" s="43" t="str">
        <f>IF(AND('Mapa final'!$AA$62="Muy Baja",'Mapa final'!$AC$62="Catastrófico"),CONCATENATE("R9C",'Mapa final'!$Q$62),"")</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34"/>
      <c r="C55" s="234"/>
      <c r="D55" s="235"/>
      <c r="E55" s="337"/>
      <c r="F55" s="338"/>
      <c r="G55" s="338"/>
      <c r="H55" s="338"/>
      <c r="I55" s="352"/>
      <c r="J55" s="66" t="str">
        <f>IF(AND('Mapa final'!$AA$63="Muy Baja",'Mapa final'!$AC$63="Leve"),CONCATENATE("R10C",'Mapa final'!$Q$63),"")</f>
        <v/>
      </c>
      <c r="K55" s="67" t="str">
        <f>IF(AND('Mapa final'!$AA$64="Muy Baja",'Mapa final'!$AC$64="Leve"),CONCATENATE("R10C",'Mapa final'!$Q$64),"")</f>
        <v/>
      </c>
      <c r="L55" s="67" t="str">
        <f>IF(AND('Mapa final'!$AA$65="Muy Baja",'Mapa final'!$AC$65="Leve"),CONCATENATE("R10C",'Mapa final'!$Q$65),"")</f>
        <v/>
      </c>
      <c r="M55" s="67" t="str">
        <f>IF(AND('Mapa final'!$AA$66="Muy Baja",'Mapa final'!$AC$66="Leve"),CONCATENATE("R10C",'Mapa final'!$Q$66),"")</f>
        <v/>
      </c>
      <c r="N55" s="67" t="str">
        <f>IF(AND('Mapa final'!$AA$67="Muy Baja",'Mapa final'!$AC$67="Leve"),CONCATENATE("R10C",'Mapa final'!$Q$67),"")</f>
        <v/>
      </c>
      <c r="O55" s="68" t="str">
        <f>IF(AND('Mapa final'!$AA$68="Muy Baja",'Mapa final'!$AC$68="Leve"),CONCATENATE("R10C",'Mapa final'!$Q$68),"")</f>
        <v/>
      </c>
      <c r="P55" s="66" t="str">
        <f>IF(AND('Mapa final'!$AA$63="Muy Baja",'Mapa final'!$AC$63="Menor"),CONCATENATE("R10C",'Mapa final'!$Q$63),"")</f>
        <v/>
      </c>
      <c r="Q55" s="67" t="str">
        <f>IF(AND('Mapa final'!$AA$64="Muy Baja",'Mapa final'!$AC$64="Menor"),CONCATENATE("R10C",'Mapa final'!$Q$64),"")</f>
        <v/>
      </c>
      <c r="R55" s="67" t="str">
        <f>IF(AND('Mapa final'!$AA$65="Muy Baja",'Mapa final'!$AC$65="Menor"),CONCATENATE("R10C",'Mapa final'!$Q$65),"")</f>
        <v/>
      </c>
      <c r="S55" s="67" t="str">
        <f>IF(AND('Mapa final'!$AA$66="Muy Baja",'Mapa final'!$AC$66="Menor"),CONCATENATE("R10C",'Mapa final'!$Q$66),"")</f>
        <v/>
      </c>
      <c r="T55" s="67" t="str">
        <f>IF(AND('Mapa final'!$AA$67="Muy Baja",'Mapa final'!$AC$67="Menor"),CONCATENATE("R10C",'Mapa final'!$Q$67),"")</f>
        <v/>
      </c>
      <c r="U55" s="68" t="str">
        <f>IF(AND('Mapa final'!$AA$68="Muy Baja",'Mapa final'!$AC$68="Menor"),CONCATENATE("R10C",'Mapa final'!$Q$68),"")</f>
        <v/>
      </c>
      <c r="V55" s="57" t="str">
        <f>IF(AND('Mapa final'!$AA$63="Muy Baja",'Mapa final'!$AC$63="Moderado"),CONCATENATE("R10C",'Mapa final'!$Q$63),"")</f>
        <v/>
      </c>
      <c r="W55" s="58" t="str">
        <f>IF(AND('Mapa final'!$AA$64="Muy Baja",'Mapa final'!$AC$64="Moderado"),CONCATENATE("R10C",'Mapa final'!$Q$64),"")</f>
        <v/>
      </c>
      <c r="X55" s="58" t="str">
        <f>IF(AND('Mapa final'!$AA$65="Muy Baja",'Mapa final'!$AC$65="Moderado"),CONCATENATE("R10C",'Mapa final'!$Q$65),"")</f>
        <v/>
      </c>
      <c r="Y55" s="58" t="str">
        <f>IF(AND('Mapa final'!$AA$66="Muy Baja",'Mapa final'!$AC$66="Moderado"),CONCATENATE("R10C",'Mapa final'!$Q$66),"")</f>
        <v/>
      </c>
      <c r="Z55" s="58" t="str">
        <f>IF(AND('Mapa final'!$AA$67="Muy Baja",'Mapa final'!$AC$67="Moderado"),CONCATENATE("R10C",'Mapa final'!$Q$67),"")</f>
        <v/>
      </c>
      <c r="AA55" s="59" t="str">
        <f>IF(AND('Mapa final'!$AA$68="Muy Baja",'Mapa final'!$AC$68="Moderado"),CONCATENATE("R10C",'Mapa final'!$Q$68),"")</f>
        <v/>
      </c>
      <c r="AB55" s="45" t="str">
        <f>IF(AND('Mapa final'!$AA$63="Muy Baja",'Mapa final'!$AC$63="Mayor"),CONCATENATE("R10C",'Mapa final'!$Q$63),"")</f>
        <v/>
      </c>
      <c r="AC55" s="46" t="str">
        <f>IF(AND('Mapa final'!$AA$64="Muy Baja",'Mapa final'!$AC$64="Mayor"),CONCATENATE("R10C",'Mapa final'!$Q$64),"")</f>
        <v/>
      </c>
      <c r="AD55" s="46" t="str">
        <f>IF(AND('Mapa final'!$AA$65="Muy Baja",'Mapa final'!$AC$65="Mayor"),CONCATENATE("R10C",'Mapa final'!$Q$65),"")</f>
        <v/>
      </c>
      <c r="AE55" s="46" t="str">
        <f>IF(AND('Mapa final'!$AA$66="Muy Baja",'Mapa final'!$AC$66="Mayor"),CONCATENATE("R10C",'Mapa final'!$Q$66),"")</f>
        <v/>
      </c>
      <c r="AF55" s="46" t="str">
        <f>IF(AND('Mapa final'!$AA$67="Muy Baja",'Mapa final'!$AC$67="Mayor"),CONCATENATE("R10C",'Mapa final'!$Q$67),"")</f>
        <v/>
      </c>
      <c r="AG55" s="47" t="str">
        <f>IF(AND('Mapa final'!$AA$68="Muy Baja",'Mapa final'!$AC$68="Mayor"),CONCATENATE("R10C",'Mapa final'!$Q$68),"")</f>
        <v/>
      </c>
      <c r="AH55" s="48" t="str">
        <f>IF(AND('Mapa final'!$AA$63="Muy Baja",'Mapa final'!$AC$63="Catastrófico"),CONCATENATE("R10C",'Mapa final'!$Q$63),"")</f>
        <v/>
      </c>
      <c r="AI55" s="49" t="str">
        <f>IF(AND('Mapa final'!$AA$64="Muy Baja",'Mapa final'!$AC$64="Catastrófico"),CONCATENATE("R10C",'Mapa final'!$Q$64),"")</f>
        <v/>
      </c>
      <c r="AJ55" s="49" t="str">
        <f>IF(AND('Mapa final'!$AA$65="Muy Baja",'Mapa final'!$AC$65="Catastrófico"),CONCATENATE("R10C",'Mapa final'!$Q$65),"")</f>
        <v/>
      </c>
      <c r="AK55" s="49" t="str">
        <f>IF(AND('Mapa final'!$AA$66="Muy Baja",'Mapa final'!$AC$66="Catastrófico"),CONCATENATE("R10C",'Mapa final'!$Q$66),"")</f>
        <v/>
      </c>
      <c r="AL55" s="49" t="str">
        <f>IF(AND('Mapa final'!$AA$67="Muy Baja",'Mapa final'!$AC$67="Catastrófico"),CONCATENATE("R10C",'Mapa final'!$Q$67),"")</f>
        <v/>
      </c>
      <c r="AM55" s="50" t="str">
        <f>IF(AND('Mapa final'!$AA$68="Muy Baja",'Mapa final'!$AC$68="Catastrófico"),CONCATENATE("R10C",'Mapa final'!$Q$68),"")</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31" t="s">
        <v>108</v>
      </c>
      <c r="K56" s="332"/>
      <c r="L56" s="332"/>
      <c r="M56" s="332"/>
      <c r="N56" s="332"/>
      <c r="O56" s="350"/>
      <c r="P56" s="331" t="s">
        <v>107</v>
      </c>
      <c r="Q56" s="332"/>
      <c r="R56" s="332"/>
      <c r="S56" s="332"/>
      <c r="T56" s="332"/>
      <c r="U56" s="350"/>
      <c r="V56" s="331" t="s">
        <v>106</v>
      </c>
      <c r="W56" s="332"/>
      <c r="X56" s="332"/>
      <c r="Y56" s="332"/>
      <c r="Z56" s="332"/>
      <c r="AA56" s="350"/>
      <c r="AB56" s="331" t="s">
        <v>105</v>
      </c>
      <c r="AC56" s="371"/>
      <c r="AD56" s="332"/>
      <c r="AE56" s="332"/>
      <c r="AF56" s="332"/>
      <c r="AG56" s="350"/>
      <c r="AH56" s="331" t="s">
        <v>104</v>
      </c>
      <c r="AI56" s="332"/>
      <c r="AJ56" s="332"/>
      <c r="AK56" s="332"/>
      <c r="AL56" s="332"/>
      <c r="AM56" s="35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35"/>
      <c r="K57" s="336"/>
      <c r="L57" s="336"/>
      <c r="M57" s="336"/>
      <c r="N57" s="336"/>
      <c r="O57" s="351"/>
      <c r="P57" s="335"/>
      <c r="Q57" s="336"/>
      <c r="R57" s="336"/>
      <c r="S57" s="336"/>
      <c r="T57" s="336"/>
      <c r="U57" s="351"/>
      <c r="V57" s="335"/>
      <c r="W57" s="336"/>
      <c r="X57" s="336"/>
      <c r="Y57" s="336"/>
      <c r="Z57" s="336"/>
      <c r="AA57" s="351"/>
      <c r="AB57" s="335"/>
      <c r="AC57" s="336"/>
      <c r="AD57" s="336"/>
      <c r="AE57" s="336"/>
      <c r="AF57" s="336"/>
      <c r="AG57" s="351"/>
      <c r="AH57" s="335"/>
      <c r="AI57" s="336"/>
      <c r="AJ57" s="336"/>
      <c r="AK57" s="336"/>
      <c r="AL57" s="336"/>
      <c r="AM57" s="351"/>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35"/>
      <c r="K58" s="336"/>
      <c r="L58" s="336"/>
      <c r="M58" s="336"/>
      <c r="N58" s="336"/>
      <c r="O58" s="351"/>
      <c r="P58" s="335"/>
      <c r="Q58" s="336"/>
      <c r="R58" s="336"/>
      <c r="S58" s="336"/>
      <c r="T58" s="336"/>
      <c r="U58" s="351"/>
      <c r="V58" s="335"/>
      <c r="W58" s="336"/>
      <c r="X58" s="336"/>
      <c r="Y58" s="336"/>
      <c r="Z58" s="336"/>
      <c r="AA58" s="351"/>
      <c r="AB58" s="335"/>
      <c r="AC58" s="336"/>
      <c r="AD58" s="336"/>
      <c r="AE58" s="336"/>
      <c r="AF58" s="336"/>
      <c r="AG58" s="351"/>
      <c r="AH58" s="335"/>
      <c r="AI58" s="336"/>
      <c r="AJ58" s="336"/>
      <c r="AK58" s="336"/>
      <c r="AL58" s="336"/>
      <c r="AM58" s="351"/>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35"/>
      <c r="K59" s="336"/>
      <c r="L59" s="336"/>
      <c r="M59" s="336"/>
      <c r="N59" s="336"/>
      <c r="O59" s="351"/>
      <c r="P59" s="335"/>
      <c r="Q59" s="336"/>
      <c r="R59" s="336"/>
      <c r="S59" s="336"/>
      <c r="T59" s="336"/>
      <c r="U59" s="351"/>
      <c r="V59" s="335"/>
      <c r="W59" s="336"/>
      <c r="X59" s="336"/>
      <c r="Y59" s="336"/>
      <c r="Z59" s="336"/>
      <c r="AA59" s="351"/>
      <c r="AB59" s="335"/>
      <c r="AC59" s="336"/>
      <c r="AD59" s="336"/>
      <c r="AE59" s="336"/>
      <c r="AF59" s="336"/>
      <c r="AG59" s="351"/>
      <c r="AH59" s="335"/>
      <c r="AI59" s="336"/>
      <c r="AJ59" s="336"/>
      <c r="AK59" s="336"/>
      <c r="AL59" s="336"/>
      <c r="AM59" s="351"/>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35"/>
      <c r="K60" s="336"/>
      <c r="L60" s="336"/>
      <c r="M60" s="336"/>
      <c r="N60" s="336"/>
      <c r="O60" s="351"/>
      <c r="P60" s="335"/>
      <c r="Q60" s="336"/>
      <c r="R60" s="336"/>
      <c r="S60" s="336"/>
      <c r="T60" s="336"/>
      <c r="U60" s="351"/>
      <c r="V60" s="335"/>
      <c r="W60" s="336"/>
      <c r="X60" s="336"/>
      <c r="Y60" s="336"/>
      <c r="Z60" s="336"/>
      <c r="AA60" s="351"/>
      <c r="AB60" s="335"/>
      <c r="AC60" s="336"/>
      <c r="AD60" s="336"/>
      <c r="AE60" s="336"/>
      <c r="AF60" s="336"/>
      <c r="AG60" s="351"/>
      <c r="AH60" s="335"/>
      <c r="AI60" s="336"/>
      <c r="AJ60" s="336"/>
      <c r="AK60" s="336"/>
      <c r="AL60" s="336"/>
      <c r="AM60" s="351"/>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37"/>
      <c r="K61" s="338"/>
      <c r="L61" s="338"/>
      <c r="M61" s="338"/>
      <c r="N61" s="338"/>
      <c r="O61" s="352"/>
      <c r="P61" s="337"/>
      <c r="Q61" s="338"/>
      <c r="R61" s="338"/>
      <c r="S61" s="338"/>
      <c r="T61" s="338"/>
      <c r="U61" s="352"/>
      <c r="V61" s="337"/>
      <c r="W61" s="338"/>
      <c r="X61" s="338"/>
      <c r="Y61" s="338"/>
      <c r="Z61" s="338"/>
      <c r="AA61" s="352"/>
      <c r="AB61" s="337"/>
      <c r="AC61" s="338"/>
      <c r="AD61" s="338"/>
      <c r="AE61" s="338"/>
      <c r="AF61" s="338"/>
      <c r="AG61" s="352"/>
      <c r="AH61" s="337"/>
      <c r="AI61" s="338"/>
      <c r="AJ61" s="338"/>
      <c r="AK61" s="338"/>
      <c r="AL61" s="338"/>
      <c r="AM61" s="352"/>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55"/>
  <sheetViews>
    <sheetView zoomScale="90" zoomScaleNormal="90" workbookViewId="0">
      <selection activeCell="B5" sqref="B5"/>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72" t="s">
        <v>51</v>
      </c>
      <c r="C1" s="372"/>
      <c r="D1" s="372"/>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48</v>
      </c>
      <c r="D3" s="4" t="s">
        <v>3</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47</v>
      </c>
      <c r="C4" s="6" t="s">
        <v>98</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49</v>
      </c>
      <c r="C5" s="9" t="s">
        <v>99</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103</v>
      </c>
      <c r="C6" s="9" t="s">
        <v>100</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5</v>
      </c>
      <c r="C7" s="9" t="s">
        <v>101</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50</v>
      </c>
      <c r="C8" s="9" t="s">
        <v>102</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2"/>
      <c r="C9" s="92"/>
      <c r="D9" s="92"/>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3"/>
      <c r="C10" s="92"/>
      <c r="D10" s="92"/>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2"/>
      <c r="C11" s="92"/>
      <c r="D11" s="92"/>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2"/>
      <c r="C12" s="92"/>
      <c r="D12" s="9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2"/>
      <c r="C13" s="92"/>
      <c r="D13" s="92"/>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2"/>
      <c r="C14" s="92"/>
      <c r="D14" s="92"/>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2"/>
      <c r="C15" s="92"/>
      <c r="D15" s="92"/>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2"/>
      <c r="C16" s="92"/>
      <c r="D16" s="92"/>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2"/>
      <c r="C17" s="92"/>
      <c r="D17" s="92"/>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2"/>
      <c r="C18" s="92"/>
      <c r="D18" s="92"/>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232"/>
  <sheetViews>
    <sheetView zoomScale="40" zoomScaleNormal="40" workbookViewId="0">
      <selection activeCell="D4" sqref="D4"/>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373" t="s">
        <v>59</v>
      </c>
      <c r="C1" s="373"/>
      <c r="D1" s="373"/>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9"/>
      <c r="C3" s="22" t="s">
        <v>52</v>
      </c>
      <c r="D3" s="22" t="s">
        <v>53</v>
      </c>
      <c r="E3" s="70"/>
      <c r="F3" s="70"/>
      <c r="G3" s="70"/>
      <c r="H3" s="70"/>
      <c r="I3" s="70"/>
      <c r="J3" s="70"/>
      <c r="K3" s="70"/>
      <c r="L3" s="70"/>
      <c r="M3" s="70"/>
      <c r="N3" s="70"/>
      <c r="O3" s="70"/>
      <c r="P3" s="70"/>
      <c r="Q3" s="70"/>
      <c r="R3" s="70"/>
      <c r="S3" s="70"/>
      <c r="T3" s="70"/>
      <c r="U3" s="70"/>
    </row>
    <row r="4" spans="1:21" ht="33.75" x14ac:dyDescent="0.25">
      <c r="A4" s="88" t="s">
        <v>79</v>
      </c>
      <c r="B4" s="25" t="s">
        <v>97</v>
      </c>
      <c r="C4" s="30" t="s">
        <v>151</v>
      </c>
      <c r="D4" s="23" t="s">
        <v>93</v>
      </c>
      <c r="E4" s="70"/>
      <c r="F4" s="70"/>
      <c r="G4" s="70"/>
      <c r="H4" s="70"/>
      <c r="I4" s="70"/>
      <c r="J4" s="70"/>
      <c r="K4" s="70"/>
      <c r="L4" s="70"/>
      <c r="M4" s="70"/>
      <c r="N4" s="70"/>
      <c r="O4" s="70"/>
      <c r="P4" s="70"/>
      <c r="Q4" s="70"/>
      <c r="R4" s="70"/>
      <c r="S4" s="70"/>
      <c r="T4" s="70"/>
      <c r="U4" s="70"/>
    </row>
    <row r="5" spans="1:21" ht="67.5" x14ac:dyDescent="0.25">
      <c r="A5" s="88" t="s">
        <v>80</v>
      </c>
      <c r="B5" s="26" t="s">
        <v>55</v>
      </c>
      <c r="C5" s="31" t="s">
        <v>89</v>
      </c>
      <c r="D5" s="24" t="s">
        <v>94</v>
      </c>
      <c r="E5" s="70"/>
      <c r="F5" s="70"/>
      <c r="G5" s="70"/>
      <c r="H5" s="70"/>
      <c r="I5" s="70"/>
      <c r="J5" s="70"/>
      <c r="K5" s="70"/>
      <c r="L5" s="70"/>
      <c r="M5" s="70"/>
      <c r="N5" s="70"/>
      <c r="O5" s="70"/>
      <c r="P5" s="70"/>
      <c r="Q5" s="70"/>
      <c r="R5" s="70"/>
      <c r="S5" s="70"/>
      <c r="T5" s="70"/>
      <c r="U5" s="70"/>
    </row>
    <row r="6" spans="1:21" ht="67.5" x14ac:dyDescent="0.25">
      <c r="A6" s="88" t="s">
        <v>77</v>
      </c>
      <c r="B6" s="27" t="s">
        <v>56</v>
      </c>
      <c r="C6" s="31" t="s">
        <v>90</v>
      </c>
      <c r="D6" s="24" t="s">
        <v>96</v>
      </c>
      <c r="E6" s="70"/>
      <c r="F6" s="70"/>
      <c r="G6" s="70"/>
      <c r="H6" s="70"/>
      <c r="I6" s="70"/>
      <c r="J6" s="70"/>
      <c r="K6" s="70"/>
      <c r="L6" s="70"/>
      <c r="M6" s="70"/>
      <c r="N6" s="70"/>
      <c r="O6" s="70"/>
      <c r="P6" s="70"/>
      <c r="Q6" s="70"/>
      <c r="R6" s="70"/>
      <c r="S6" s="70"/>
      <c r="T6" s="70"/>
      <c r="U6" s="70"/>
    </row>
    <row r="7" spans="1:21" ht="101.25" x14ac:dyDescent="0.25">
      <c r="A7" s="88" t="s">
        <v>6</v>
      </c>
      <c r="B7" s="28" t="s">
        <v>57</v>
      </c>
      <c r="C7" s="31" t="s">
        <v>91</v>
      </c>
      <c r="D7" s="24" t="s">
        <v>95</v>
      </c>
      <c r="E7" s="70"/>
      <c r="F7" s="70"/>
      <c r="G7" s="70"/>
      <c r="H7" s="70"/>
      <c r="I7" s="70"/>
      <c r="J7" s="70"/>
      <c r="K7" s="70"/>
      <c r="L7" s="70"/>
      <c r="M7" s="70"/>
      <c r="N7" s="70"/>
      <c r="O7" s="70"/>
      <c r="P7" s="70"/>
      <c r="Q7" s="70"/>
      <c r="R7" s="70"/>
      <c r="S7" s="70"/>
      <c r="T7" s="70"/>
      <c r="U7" s="70"/>
    </row>
    <row r="8" spans="1:21" ht="67.5" x14ac:dyDescent="0.25">
      <c r="A8" s="88" t="s">
        <v>81</v>
      </c>
      <c r="B8" s="29" t="s">
        <v>58</v>
      </c>
      <c r="C8" s="31" t="s">
        <v>92</v>
      </c>
      <c r="D8" s="24" t="s">
        <v>114</v>
      </c>
      <c r="E8" s="70"/>
      <c r="F8" s="70"/>
      <c r="G8" s="70"/>
      <c r="H8" s="70"/>
      <c r="I8" s="70"/>
      <c r="J8" s="70"/>
      <c r="K8" s="70"/>
      <c r="L8" s="70"/>
      <c r="M8" s="70"/>
      <c r="N8" s="70"/>
      <c r="O8" s="70"/>
      <c r="P8" s="70"/>
      <c r="Q8" s="70"/>
      <c r="R8" s="70"/>
      <c r="S8" s="70"/>
      <c r="T8" s="70"/>
      <c r="U8" s="70"/>
    </row>
    <row r="9" spans="1:21" ht="20.25" x14ac:dyDescent="0.25">
      <c r="A9" s="88"/>
      <c r="B9" s="88"/>
      <c r="C9" s="90"/>
      <c r="D9" s="90"/>
      <c r="E9" s="70"/>
      <c r="F9" s="70"/>
      <c r="G9" s="70"/>
      <c r="H9" s="70"/>
      <c r="I9" s="70"/>
      <c r="J9" s="70"/>
      <c r="K9" s="70"/>
      <c r="L9" s="70"/>
      <c r="M9" s="70"/>
      <c r="N9" s="70"/>
      <c r="O9" s="70"/>
      <c r="P9" s="70"/>
      <c r="Q9" s="70"/>
      <c r="R9" s="70"/>
      <c r="S9" s="70"/>
      <c r="T9" s="70"/>
      <c r="U9" s="70"/>
    </row>
    <row r="10" spans="1:21" ht="16.5" x14ac:dyDescent="0.25">
      <c r="A10" s="88"/>
      <c r="B10" s="91"/>
      <c r="C10" s="91"/>
      <c r="D10" s="91"/>
      <c r="E10" s="70"/>
      <c r="F10" s="70"/>
      <c r="G10" s="70"/>
      <c r="H10" s="70"/>
      <c r="I10" s="70"/>
      <c r="J10" s="70"/>
      <c r="K10" s="70"/>
      <c r="L10" s="70"/>
      <c r="M10" s="70"/>
      <c r="N10" s="70"/>
      <c r="O10" s="70"/>
      <c r="P10" s="70"/>
      <c r="Q10" s="70"/>
      <c r="R10" s="70"/>
      <c r="S10" s="70"/>
      <c r="T10" s="70"/>
      <c r="U10" s="70"/>
    </row>
    <row r="11" spans="1:21" x14ac:dyDescent="0.25">
      <c r="A11" s="88"/>
      <c r="B11" s="88" t="s">
        <v>87</v>
      </c>
      <c r="C11" s="88" t="s">
        <v>139</v>
      </c>
      <c r="D11" s="88" t="s">
        <v>146</v>
      </c>
      <c r="E11" s="70"/>
      <c r="F11" s="70"/>
      <c r="G11" s="70"/>
      <c r="H11" s="70"/>
      <c r="I11" s="70"/>
      <c r="J11" s="70"/>
      <c r="K11" s="70"/>
      <c r="L11" s="70"/>
      <c r="M11" s="70"/>
      <c r="N11" s="70"/>
      <c r="O11" s="70"/>
      <c r="P11" s="70"/>
      <c r="Q11" s="70"/>
      <c r="R11" s="70"/>
      <c r="S11" s="70"/>
      <c r="T11" s="70"/>
      <c r="U11" s="70"/>
    </row>
    <row r="12" spans="1:21" x14ac:dyDescent="0.25">
      <c r="A12" s="88"/>
      <c r="B12" s="88" t="s">
        <v>85</v>
      </c>
      <c r="C12" s="88" t="s">
        <v>143</v>
      </c>
      <c r="D12" s="88" t="s">
        <v>147</v>
      </c>
      <c r="E12" s="70"/>
      <c r="F12" s="70"/>
      <c r="G12" s="70"/>
      <c r="H12" s="70"/>
      <c r="I12" s="70"/>
      <c r="J12" s="70"/>
      <c r="K12" s="70"/>
      <c r="L12" s="70"/>
      <c r="M12" s="70"/>
      <c r="N12" s="70"/>
      <c r="O12" s="70"/>
      <c r="P12" s="70"/>
      <c r="Q12" s="70"/>
      <c r="R12" s="70"/>
      <c r="S12" s="70"/>
      <c r="T12" s="70"/>
      <c r="U12" s="70"/>
    </row>
    <row r="13" spans="1:21" x14ac:dyDescent="0.25">
      <c r="A13" s="88"/>
      <c r="B13" s="88"/>
      <c r="C13" s="88" t="s">
        <v>142</v>
      </c>
      <c r="D13" s="88" t="s">
        <v>148</v>
      </c>
      <c r="E13" s="70"/>
      <c r="F13" s="70"/>
      <c r="G13" s="70"/>
      <c r="H13" s="70"/>
      <c r="I13" s="70"/>
      <c r="J13" s="70"/>
      <c r="K13" s="70"/>
      <c r="L13" s="70"/>
      <c r="M13" s="70"/>
      <c r="N13" s="70"/>
      <c r="O13" s="70"/>
      <c r="P13" s="70"/>
      <c r="Q13" s="70"/>
      <c r="R13" s="70"/>
      <c r="S13" s="70"/>
      <c r="T13" s="70"/>
      <c r="U13" s="70"/>
    </row>
    <row r="14" spans="1:21" x14ac:dyDescent="0.25">
      <c r="A14" s="88"/>
      <c r="B14" s="88"/>
      <c r="C14" s="88" t="s">
        <v>144</v>
      </c>
      <c r="D14" s="88" t="s">
        <v>149</v>
      </c>
      <c r="E14" s="70"/>
      <c r="F14" s="70"/>
      <c r="G14" s="70"/>
      <c r="H14" s="70"/>
      <c r="I14" s="70"/>
      <c r="J14" s="70"/>
      <c r="K14" s="70"/>
      <c r="L14" s="70"/>
      <c r="M14" s="70"/>
      <c r="N14" s="70"/>
      <c r="O14" s="70"/>
      <c r="P14" s="70"/>
      <c r="Q14" s="70"/>
      <c r="R14" s="70"/>
      <c r="S14" s="70"/>
      <c r="T14" s="70"/>
      <c r="U14" s="70"/>
    </row>
    <row r="15" spans="1:21" x14ac:dyDescent="0.25">
      <c r="A15" s="88"/>
      <c r="B15" s="88"/>
      <c r="C15" s="88" t="s">
        <v>145</v>
      </c>
      <c r="D15" s="88" t="s">
        <v>150</v>
      </c>
      <c r="E15" s="70"/>
      <c r="F15" s="70"/>
      <c r="G15" s="70"/>
      <c r="H15" s="70"/>
      <c r="I15" s="70"/>
      <c r="J15" s="70"/>
      <c r="K15" s="70"/>
      <c r="L15" s="70"/>
      <c r="M15" s="70"/>
      <c r="N15" s="70"/>
      <c r="O15" s="70"/>
      <c r="P15" s="70"/>
      <c r="Q15" s="70"/>
      <c r="R15" s="70"/>
      <c r="S15" s="70"/>
      <c r="T15" s="70"/>
      <c r="U15" s="70"/>
    </row>
    <row r="16" spans="1:21" x14ac:dyDescent="0.25">
      <c r="A16" s="88"/>
      <c r="B16" s="88"/>
      <c r="C16" s="88"/>
      <c r="D16" s="88"/>
      <c r="E16" s="70"/>
      <c r="F16" s="70"/>
      <c r="G16" s="70"/>
      <c r="H16" s="70"/>
      <c r="I16" s="70"/>
      <c r="J16" s="70"/>
      <c r="K16" s="70"/>
      <c r="L16" s="70"/>
      <c r="M16" s="70"/>
      <c r="N16" s="70"/>
      <c r="O16" s="70"/>
    </row>
    <row r="17" spans="1:15" x14ac:dyDescent="0.25">
      <c r="A17" s="88"/>
      <c r="B17" s="88"/>
      <c r="C17" s="88"/>
      <c r="D17" s="88"/>
      <c r="E17" s="70"/>
      <c r="F17" s="70"/>
      <c r="G17" s="70"/>
      <c r="H17" s="70"/>
      <c r="I17" s="70"/>
      <c r="J17" s="70"/>
      <c r="K17" s="70"/>
      <c r="L17" s="70"/>
      <c r="M17" s="70"/>
      <c r="N17" s="70"/>
      <c r="O17" s="70"/>
    </row>
    <row r="18" spans="1:15" x14ac:dyDescent="0.25">
      <c r="A18" s="88"/>
      <c r="B18" s="92"/>
      <c r="C18" s="92"/>
      <c r="D18" s="92"/>
      <c r="E18" s="70"/>
      <c r="F18" s="70"/>
      <c r="G18" s="70"/>
      <c r="H18" s="70"/>
      <c r="I18" s="70"/>
      <c r="J18" s="70"/>
      <c r="K18" s="70"/>
      <c r="L18" s="70"/>
      <c r="M18" s="70"/>
      <c r="N18" s="70"/>
      <c r="O18" s="70"/>
    </row>
    <row r="19" spans="1:15" x14ac:dyDescent="0.25">
      <c r="A19" s="88"/>
      <c r="B19" s="92"/>
      <c r="C19" s="92"/>
      <c r="D19" s="92"/>
      <c r="E19" s="70"/>
      <c r="F19" s="70"/>
      <c r="G19" s="70"/>
      <c r="H19" s="70"/>
      <c r="I19" s="70"/>
      <c r="J19" s="70"/>
      <c r="K19" s="70"/>
      <c r="L19" s="70"/>
      <c r="M19" s="70"/>
      <c r="N19" s="70"/>
      <c r="O19" s="70"/>
    </row>
    <row r="20" spans="1:15" x14ac:dyDescent="0.25">
      <c r="A20" s="88"/>
      <c r="B20" s="92"/>
      <c r="C20" s="92"/>
      <c r="D20" s="92"/>
      <c r="E20" s="70"/>
      <c r="F20" s="70"/>
      <c r="G20" s="70"/>
      <c r="H20" s="70"/>
      <c r="I20" s="70"/>
      <c r="J20" s="70"/>
      <c r="K20" s="70"/>
      <c r="L20" s="70"/>
      <c r="M20" s="70"/>
      <c r="N20" s="70"/>
      <c r="O20" s="70"/>
    </row>
    <row r="21" spans="1:15" x14ac:dyDescent="0.25">
      <c r="A21" s="88"/>
      <c r="B21" s="92"/>
      <c r="C21" s="92"/>
      <c r="D21" s="92"/>
      <c r="E21" s="70"/>
      <c r="F21" s="70"/>
      <c r="G21" s="70"/>
      <c r="H21" s="70"/>
      <c r="I21" s="70"/>
      <c r="J21" s="70"/>
      <c r="K21" s="70"/>
      <c r="L21" s="70"/>
      <c r="M21" s="70"/>
      <c r="N21" s="70"/>
      <c r="O21" s="70"/>
    </row>
    <row r="22" spans="1:15" ht="20.25" x14ac:dyDescent="0.25">
      <c r="A22" s="88"/>
      <c r="B22" s="88"/>
      <c r="C22" s="90"/>
      <c r="D22" s="90"/>
      <c r="E22" s="70"/>
      <c r="F22" s="70"/>
      <c r="G22" s="70"/>
      <c r="H22" s="70"/>
      <c r="I22" s="70"/>
      <c r="J22" s="70"/>
      <c r="K22" s="70"/>
      <c r="L22" s="70"/>
      <c r="M22" s="70"/>
      <c r="N22" s="70"/>
      <c r="O22" s="70"/>
    </row>
    <row r="23" spans="1:15" ht="20.25" x14ac:dyDescent="0.25">
      <c r="A23" s="88"/>
      <c r="B23" s="88"/>
      <c r="C23" s="90"/>
      <c r="D23" s="90"/>
      <c r="E23" s="70"/>
      <c r="F23" s="70"/>
      <c r="G23" s="70"/>
      <c r="H23" s="70"/>
      <c r="I23" s="70"/>
      <c r="J23" s="70"/>
      <c r="K23" s="70"/>
      <c r="L23" s="70"/>
      <c r="M23" s="70"/>
      <c r="N23" s="70"/>
      <c r="O23" s="70"/>
    </row>
    <row r="24" spans="1:15" ht="20.25" x14ac:dyDescent="0.25">
      <c r="A24" s="88"/>
      <c r="B24" s="88"/>
      <c r="C24" s="90"/>
      <c r="D24" s="90"/>
      <c r="E24" s="70"/>
      <c r="F24" s="70"/>
      <c r="G24" s="70"/>
      <c r="H24" s="70"/>
      <c r="I24" s="70"/>
      <c r="J24" s="70"/>
      <c r="K24" s="70"/>
      <c r="L24" s="70"/>
      <c r="M24" s="70"/>
      <c r="N24" s="70"/>
      <c r="O24" s="70"/>
    </row>
    <row r="25" spans="1:15" ht="20.25" x14ac:dyDescent="0.25">
      <c r="A25" s="88"/>
      <c r="B25" s="88"/>
      <c r="C25" s="90"/>
      <c r="D25" s="90"/>
      <c r="E25" s="70"/>
      <c r="F25" s="70"/>
      <c r="G25" s="70"/>
      <c r="H25" s="70"/>
      <c r="I25" s="70"/>
      <c r="J25" s="70"/>
      <c r="K25" s="70"/>
      <c r="L25" s="70"/>
      <c r="M25" s="70"/>
      <c r="N25" s="70"/>
      <c r="O25" s="70"/>
    </row>
    <row r="26" spans="1:15" ht="20.25" x14ac:dyDescent="0.25">
      <c r="A26" s="88"/>
      <c r="B26" s="88"/>
      <c r="C26" s="90"/>
      <c r="D26" s="90"/>
      <c r="E26" s="70"/>
      <c r="F26" s="70"/>
      <c r="G26" s="70"/>
      <c r="H26" s="70"/>
      <c r="I26" s="70"/>
      <c r="J26" s="70"/>
      <c r="K26" s="70"/>
      <c r="L26" s="70"/>
      <c r="M26" s="70"/>
      <c r="N26" s="70"/>
      <c r="O26" s="70"/>
    </row>
    <row r="27" spans="1:15" ht="20.25" x14ac:dyDescent="0.25">
      <c r="A27" s="88"/>
      <c r="B27" s="88"/>
      <c r="C27" s="90"/>
      <c r="D27" s="90"/>
      <c r="E27" s="70"/>
      <c r="F27" s="70"/>
      <c r="G27" s="70"/>
      <c r="H27" s="70"/>
      <c r="I27" s="70"/>
      <c r="J27" s="70"/>
      <c r="K27" s="70"/>
      <c r="L27" s="70"/>
      <c r="M27" s="70"/>
      <c r="N27" s="70"/>
      <c r="O27" s="70"/>
    </row>
    <row r="28" spans="1:15" ht="20.25" x14ac:dyDescent="0.25">
      <c r="A28" s="88"/>
      <c r="B28" s="88"/>
      <c r="C28" s="90"/>
      <c r="D28" s="90"/>
      <c r="E28" s="70"/>
      <c r="F28" s="70"/>
      <c r="G28" s="70"/>
      <c r="H28" s="70"/>
      <c r="I28" s="70"/>
      <c r="J28" s="70"/>
      <c r="K28" s="70"/>
      <c r="L28" s="70"/>
      <c r="M28" s="70"/>
      <c r="N28" s="70"/>
      <c r="O28" s="70"/>
    </row>
    <row r="29" spans="1:15" ht="20.25" x14ac:dyDescent="0.25">
      <c r="A29" s="88"/>
      <c r="B29" s="88"/>
      <c r="C29" s="90"/>
      <c r="D29" s="90"/>
      <c r="E29" s="70"/>
      <c r="F29" s="70"/>
      <c r="G29" s="70"/>
      <c r="H29" s="70"/>
      <c r="I29" s="70"/>
      <c r="J29" s="70"/>
      <c r="K29" s="70"/>
      <c r="L29" s="70"/>
      <c r="M29" s="70"/>
      <c r="N29" s="70"/>
      <c r="O29" s="70"/>
    </row>
    <row r="30" spans="1:15" ht="20.25" x14ac:dyDescent="0.25">
      <c r="A30" s="88"/>
      <c r="B30" s="88"/>
      <c r="C30" s="90"/>
      <c r="D30" s="90"/>
      <c r="E30" s="70"/>
      <c r="F30" s="70"/>
      <c r="G30" s="70"/>
      <c r="H30" s="70"/>
      <c r="I30" s="70"/>
      <c r="J30" s="70"/>
      <c r="K30" s="70"/>
      <c r="L30" s="70"/>
      <c r="M30" s="70"/>
      <c r="N30" s="70"/>
      <c r="O30" s="70"/>
    </row>
    <row r="31" spans="1:15" ht="20.25" x14ac:dyDescent="0.25">
      <c r="A31" s="88"/>
      <c r="B31" s="88"/>
      <c r="C31" s="90"/>
      <c r="D31" s="90"/>
      <c r="E31" s="70"/>
      <c r="F31" s="70"/>
      <c r="G31" s="70"/>
      <c r="H31" s="70"/>
      <c r="I31" s="70"/>
      <c r="J31" s="70"/>
      <c r="K31" s="70"/>
      <c r="L31" s="70"/>
      <c r="M31" s="70"/>
      <c r="N31" s="70"/>
      <c r="O31" s="70"/>
    </row>
    <row r="32" spans="1:15" ht="20.25" x14ac:dyDescent="0.25">
      <c r="A32" s="88"/>
      <c r="B32" s="88"/>
      <c r="C32" s="90"/>
      <c r="D32" s="90"/>
      <c r="E32" s="70"/>
      <c r="F32" s="70"/>
      <c r="G32" s="70"/>
      <c r="H32" s="70"/>
      <c r="I32" s="70"/>
      <c r="J32" s="70"/>
      <c r="K32" s="70"/>
      <c r="L32" s="70"/>
      <c r="M32" s="70"/>
      <c r="N32" s="70"/>
      <c r="O32" s="70"/>
    </row>
    <row r="33" spans="1:15" ht="20.25" x14ac:dyDescent="0.25">
      <c r="A33" s="88"/>
      <c r="B33" s="88"/>
      <c r="C33" s="90"/>
      <c r="D33" s="90"/>
      <c r="E33" s="70"/>
      <c r="F33" s="70"/>
      <c r="G33" s="70"/>
      <c r="H33" s="70"/>
      <c r="I33" s="70"/>
      <c r="J33" s="70"/>
      <c r="K33" s="70"/>
      <c r="L33" s="70"/>
      <c r="M33" s="70"/>
      <c r="N33" s="70"/>
      <c r="O33" s="70"/>
    </row>
    <row r="34" spans="1:15" ht="20.25" x14ac:dyDescent="0.25">
      <c r="A34" s="88"/>
      <c r="B34" s="88"/>
      <c r="C34" s="90"/>
      <c r="D34" s="90"/>
      <c r="E34" s="70"/>
      <c r="F34" s="70"/>
      <c r="G34" s="70"/>
      <c r="H34" s="70"/>
      <c r="I34" s="70"/>
      <c r="J34" s="70"/>
      <c r="K34" s="70"/>
      <c r="L34" s="70"/>
      <c r="M34" s="70"/>
      <c r="N34" s="70"/>
      <c r="O34" s="70"/>
    </row>
    <row r="35" spans="1:15" ht="20.25" x14ac:dyDescent="0.25">
      <c r="A35" s="88"/>
      <c r="B35" s="88"/>
      <c r="C35" s="90"/>
      <c r="D35" s="90"/>
      <c r="E35" s="70"/>
      <c r="F35" s="70"/>
      <c r="G35" s="70"/>
      <c r="H35" s="70"/>
      <c r="I35" s="70"/>
      <c r="J35" s="70"/>
      <c r="K35" s="70"/>
      <c r="L35" s="70"/>
      <c r="M35" s="70"/>
      <c r="N35" s="70"/>
      <c r="O35" s="70"/>
    </row>
    <row r="36" spans="1:15" ht="20.25" x14ac:dyDescent="0.25">
      <c r="A36" s="88"/>
      <c r="B36" s="88"/>
      <c r="C36" s="90"/>
      <c r="D36" s="90"/>
      <c r="E36" s="70"/>
      <c r="F36" s="70"/>
      <c r="G36" s="70"/>
      <c r="H36" s="70"/>
      <c r="I36" s="70"/>
      <c r="J36" s="70"/>
      <c r="K36" s="70"/>
      <c r="L36" s="70"/>
      <c r="M36" s="70"/>
      <c r="N36" s="70"/>
      <c r="O36" s="70"/>
    </row>
    <row r="37" spans="1:15" ht="20.25" x14ac:dyDescent="0.25">
      <c r="A37" s="88"/>
      <c r="B37" s="88"/>
      <c r="C37" s="90"/>
      <c r="D37" s="90"/>
      <c r="E37" s="70"/>
      <c r="F37" s="70"/>
      <c r="G37" s="70"/>
      <c r="H37" s="70"/>
      <c r="I37" s="70"/>
      <c r="J37" s="70"/>
      <c r="K37" s="70"/>
      <c r="L37" s="70"/>
      <c r="M37" s="70"/>
      <c r="N37" s="70"/>
      <c r="O37" s="70"/>
    </row>
    <row r="38" spans="1:15" ht="20.25" x14ac:dyDescent="0.25">
      <c r="A38" s="88"/>
      <c r="B38" s="88"/>
      <c r="C38" s="90"/>
      <c r="D38" s="90"/>
      <c r="E38" s="70"/>
      <c r="F38" s="70"/>
      <c r="G38" s="70"/>
      <c r="H38" s="70"/>
      <c r="I38" s="70"/>
      <c r="J38" s="70"/>
      <c r="K38" s="70"/>
      <c r="L38" s="70"/>
      <c r="M38" s="70"/>
      <c r="N38" s="70"/>
      <c r="O38" s="70"/>
    </row>
    <row r="39" spans="1:15" ht="20.25" x14ac:dyDescent="0.25">
      <c r="A39" s="88"/>
      <c r="B39" s="88"/>
      <c r="C39" s="90"/>
      <c r="D39" s="90"/>
      <c r="E39" s="70"/>
      <c r="F39" s="70"/>
      <c r="G39" s="70"/>
      <c r="H39" s="70"/>
      <c r="I39" s="70"/>
      <c r="J39" s="70"/>
      <c r="K39" s="70"/>
      <c r="L39" s="70"/>
      <c r="M39" s="70"/>
      <c r="N39" s="70"/>
      <c r="O39" s="70"/>
    </row>
    <row r="40" spans="1:15" ht="20.25" x14ac:dyDescent="0.25">
      <c r="A40" s="88"/>
      <c r="B40" s="88"/>
      <c r="C40" s="90"/>
      <c r="D40" s="90"/>
      <c r="E40" s="70"/>
      <c r="F40" s="70"/>
      <c r="G40" s="70"/>
      <c r="H40" s="70"/>
      <c r="I40" s="70"/>
      <c r="J40" s="70"/>
      <c r="K40" s="70"/>
      <c r="L40" s="70"/>
      <c r="M40" s="70"/>
      <c r="N40" s="70"/>
      <c r="O40" s="70"/>
    </row>
    <row r="41" spans="1:15" ht="20.25" x14ac:dyDescent="0.25">
      <c r="A41" s="88"/>
      <c r="B41" s="88"/>
      <c r="C41" s="90"/>
      <c r="D41" s="90"/>
      <c r="E41" s="70"/>
      <c r="F41" s="70"/>
      <c r="G41" s="70"/>
      <c r="H41" s="70"/>
      <c r="I41" s="70"/>
      <c r="J41" s="70"/>
      <c r="K41" s="70"/>
      <c r="L41" s="70"/>
      <c r="M41" s="70"/>
      <c r="N41" s="70"/>
      <c r="O41" s="70"/>
    </row>
    <row r="42" spans="1:15" ht="20.25" x14ac:dyDescent="0.25">
      <c r="A42" s="88"/>
      <c r="B42" s="88"/>
      <c r="C42" s="90"/>
      <c r="D42" s="90"/>
      <c r="E42" s="70"/>
      <c r="F42" s="70"/>
      <c r="G42" s="70"/>
      <c r="H42" s="70"/>
      <c r="I42" s="70"/>
      <c r="J42" s="70"/>
      <c r="K42" s="70"/>
      <c r="L42" s="70"/>
      <c r="M42" s="70"/>
      <c r="N42" s="70"/>
      <c r="O42" s="70"/>
    </row>
    <row r="43" spans="1:15" ht="20.25" x14ac:dyDescent="0.25">
      <c r="A43" s="88"/>
      <c r="B43" s="88"/>
      <c r="C43" s="90"/>
      <c r="D43" s="90"/>
      <c r="E43" s="70"/>
      <c r="F43" s="70"/>
      <c r="G43" s="70"/>
      <c r="H43" s="70"/>
      <c r="I43" s="70"/>
      <c r="J43" s="70"/>
      <c r="K43" s="70"/>
      <c r="L43" s="70"/>
      <c r="M43" s="70"/>
      <c r="N43" s="70"/>
      <c r="O43" s="70"/>
    </row>
    <row r="44" spans="1:15" ht="20.25" x14ac:dyDescent="0.25">
      <c r="A44" s="88"/>
      <c r="B44" s="88"/>
      <c r="C44" s="90"/>
      <c r="D44" s="90"/>
      <c r="E44" s="70"/>
      <c r="F44" s="70"/>
      <c r="G44" s="70"/>
      <c r="H44" s="70"/>
      <c r="I44" s="70"/>
      <c r="J44" s="70"/>
      <c r="K44" s="70"/>
      <c r="L44" s="70"/>
      <c r="M44" s="70"/>
      <c r="N44" s="70"/>
      <c r="O44" s="70"/>
    </row>
    <row r="45" spans="1:15" ht="20.25" x14ac:dyDescent="0.25">
      <c r="A45" s="88"/>
      <c r="B45" s="88"/>
      <c r="C45" s="90"/>
      <c r="D45" s="90"/>
      <c r="E45" s="70"/>
      <c r="F45" s="70"/>
      <c r="G45" s="70"/>
      <c r="H45" s="70"/>
      <c r="I45" s="70"/>
      <c r="J45" s="70"/>
      <c r="K45" s="70"/>
      <c r="L45" s="70"/>
      <c r="M45" s="70"/>
      <c r="N45" s="70"/>
      <c r="O45" s="70"/>
    </row>
    <row r="46" spans="1:15" ht="20.25" x14ac:dyDescent="0.25">
      <c r="A46" s="88"/>
      <c r="B46" s="88"/>
      <c r="C46" s="90"/>
      <c r="D46" s="90"/>
      <c r="E46" s="70"/>
      <c r="F46" s="70"/>
      <c r="G46" s="70"/>
      <c r="H46" s="70"/>
      <c r="I46" s="70"/>
      <c r="J46" s="70"/>
      <c r="K46" s="70"/>
      <c r="L46" s="70"/>
      <c r="M46" s="70"/>
      <c r="N46" s="70"/>
      <c r="O46" s="70"/>
    </row>
    <row r="47" spans="1:15" ht="20.25" x14ac:dyDescent="0.25">
      <c r="A47" s="88"/>
      <c r="B47" s="88"/>
      <c r="C47" s="90"/>
      <c r="D47" s="90"/>
      <c r="E47" s="70"/>
      <c r="F47" s="70"/>
      <c r="G47" s="70"/>
      <c r="H47" s="70"/>
      <c r="I47" s="70"/>
      <c r="J47" s="70"/>
      <c r="K47" s="70"/>
      <c r="L47" s="70"/>
      <c r="M47" s="70"/>
      <c r="N47" s="70"/>
      <c r="O47" s="70"/>
    </row>
    <row r="48" spans="1:15" ht="20.25" x14ac:dyDescent="0.25">
      <c r="A48" s="88"/>
      <c r="B48" s="88"/>
      <c r="C48" s="90"/>
      <c r="D48" s="90"/>
      <c r="E48" s="70"/>
      <c r="F48" s="70"/>
      <c r="G48" s="70"/>
      <c r="H48" s="70"/>
      <c r="I48" s="70"/>
      <c r="J48" s="70"/>
      <c r="K48" s="70"/>
      <c r="L48" s="70"/>
      <c r="M48" s="70"/>
      <c r="N48" s="70"/>
      <c r="O48" s="70"/>
    </row>
    <row r="49" spans="1:15" ht="20.25" x14ac:dyDescent="0.25">
      <c r="A49" s="88"/>
      <c r="B49" s="88"/>
      <c r="C49" s="90"/>
      <c r="D49" s="90"/>
      <c r="E49" s="70"/>
      <c r="F49" s="70"/>
      <c r="G49" s="70"/>
      <c r="H49" s="70"/>
      <c r="I49" s="70"/>
      <c r="J49" s="70"/>
      <c r="K49" s="70"/>
      <c r="L49" s="70"/>
      <c r="M49" s="70"/>
      <c r="N49" s="70"/>
      <c r="O49" s="70"/>
    </row>
    <row r="50" spans="1:15" ht="20.25" x14ac:dyDescent="0.25">
      <c r="A50" s="88"/>
      <c r="B50" s="88"/>
      <c r="C50" s="90"/>
      <c r="D50" s="90"/>
      <c r="E50" s="70"/>
      <c r="F50" s="70"/>
      <c r="G50" s="70"/>
      <c r="H50" s="70"/>
      <c r="I50" s="70"/>
      <c r="J50" s="70"/>
      <c r="K50" s="70"/>
      <c r="L50" s="70"/>
      <c r="M50" s="70"/>
      <c r="N50" s="70"/>
      <c r="O50" s="70"/>
    </row>
    <row r="51" spans="1:15" ht="20.25" x14ac:dyDescent="0.25">
      <c r="A51" s="88"/>
      <c r="B51" s="88"/>
      <c r="C51" s="90"/>
      <c r="D51" s="90"/>
      <c r="E51" s="70"/>
      <c r="F51" s="70"/>
      <c r="G51" s="70"/>
      <c r="H51" s="70"/>
      <c r="I51" s="70"/>
      <c r="J51" s="70"/>
      <c r="K51" s="70"/>
      <c r="L51" s="70"/>
      <c r="M51" s="70"/>
      <c r="N51" s="70"/>
      <c r="O51" s="70"/>
    </row>
    <row r="52" spans="1:15" ht="20.25" x14ac:dyDescent="0.25">
      <c r="A52" s="88"/>
      <c r="B52" s="15"/>
      <c r="C52" s="20"/>
      <c r="D52" s="20"/>
    </row>
    <row r="53" spans="1:15" ht="20.25" x14ac:dyDescent="0.25">
      <c r="A53" s="88"/>
      <c r="B53" s="15"/>
      <c r="C53" s="20"/>
      <c r="D53" s="20"/>
    </row>
    <row r="54" spans="1:15" ht="20.25" x14ac:dyDescent="0.25">
      <c r="A54" s="88"/>
      <c r="B54" s="15"/>
      <c r="C54" s="20"/>
      <c r="D54" s="20"/>
    </row>
    <row r="55" spans="1:15" ht="20.25" x14ac:dyDescent="0.25">
      <c r="A55" s="88"/>
      <c r="B55" s="15"/>
      <c r="C55" s="20"/>
      <c r="D55" s="20"/>
    </row>
    <row r="56" spans="1:15" ht="20.25" x14ac:dyDescent="0.25">
      <c r="A56" s="88"/>
      <c r="B56" s="15"/>
      <c r="C56" s="20"/>
      <c r="D56" s="20"/>
    </row>
    <row r="57" spans="1:15" ht="20.25" x14ac:dyDescent="0.25">
      <c r="A57" s="88"/>
      <c r="B57" s="15"/>
      <c r="C57" s="20"/>
      <c r="D57" s="20"/>
    </row>
    <row r="58" spans="1:15" ht="20.25" x14ac:dyDescent="0.25">
      <c r="A58" s="88"/>
      <c r="B58" s="15"/>
      <c r="C58" s="20"/>
      <c r="D58" s="20"/>
    </row>
    <row r="59" spans="1:15" ht="20.25" x14ac:dyDescent="0.25">
      <c r="A59" s="88"/>
      <c r="B59" s="15"/>
      <c r="C59" s="20"/>
      <c r="D59" s="20"/>
    </row>
    <row r="60" spans="1:15" ht="20.25" x14ac:dyDescent="0.25">
      <c r="A60" s="88"/>
      <c r="B60" s="15"/>
      <c r="C60" s="20"/>
      <c r="D60" s="20"/>
    </row>
    <row r="61" spans="1:15" ht="20.25" x14ac:dyDescent="0.25">
      <c r="A61" s="88"/>
      <c r="B61" s="15"/>
      <c r="C61" s="20"/>
      <c r="D61" s="20"/>
    </row>
    <row r="62" spans="1:15" ht="20.25" x14ac:dyDescent="0.25">
      <c r="A62" s="88"/>
      <c r="B62" s="15"/>
      <c r="C62" s="20"/>
      <c r="D62" s="20"/>
    </row>
    <row r="63" spans="1:15" ht="20.25" x14ac:dyDescent="0.25">
      <c r="A63" s="88"/>
      <c r="B63" s="15"/>
      <c r="C63" s="20"/>
      <c r="D63" s="20"/>
    </row>
    <row r="64" spans="1:15" ht="20.25" x14ac:dyDescent="0.25">
      <c r="A64" s="88"/>
      <c r="B64" s="15"/>
      <c r="C64" s="20"/>
      <c r="D64" s="20"/>
    </row>
    <row r="65" spans="1:4" ht="20.25" x14ac:dyDescent="0.25">
      <c r="A65" s="88"/>
      <c r="B65" s="15"/>
      <c r="C65" s="20"/>
      <c r="D65" s="20"/>
    </row>
    <row r="66" spans="1:4" ht="20.25" x14ac:dyDescent="0.25">
      <c r="A66" s="88"/>
      <c r="B66" s="15"/>
      <c r="C66" s="20"/>
      <c r="D66" s="20"/>
    </row>
    <row r="67" spans="1:4" ht="20.25" x14ac:dyDescent="0.25">
      <c r="A67" s="88"/>
      <c r="B67" s="15"/>
      <c r="C67" s="20"/>
      <c r="D67" s="20"/>
    </row>
    <row r="68" spans="1:4" ht="20.25" x14ac:dyDescent="0.25">
      <c r="A68" s="88"/>
      <c r="B68" s="15"/>
      <c r="C68" s="20"/>
      <c r="D68" s="20"/>
    </row>
    <row r="69" spans="1:4" ht="20.25" x14ac:dyDescent="0.25">
      <c r="A69" s="88"/>
      <c r="B69" s="15"/>
      <c r="C69" s="20"/>
      <c r="D69" s="20"/>
    </row>
    <row r="70" spans="1:4" ht="20.25" x14ac:dyDescent="0.25">
      <c r="A70" s="88"/>
      <c r="B70" s="15"/>
      <c r="C70" s="20"/>
      <c r="D70" s="20"/>
    </row>
    <row r="71" spans="1:4" ht="20.25" x14ac:dyDescent="0.25">
      <c r="A71" s="88"/>
      <c r="B71" s="15"/>
      <c r="C71" s="20"/>
      <c r="D71" s="20"/>
    </row>
    <row r="72" spans="1:4" ht="20.25" x14ac:dyDescent="0.25">
      <c r="A72" s="88"/>
      <c r="B72" s="15"/>
      <c r="C72" s="20"/>
      <c r="D72" s="20"/>
    </row>
    <row r="73" spans="1:4" ht="20.25" x14ac:dyDescent="0.25">
      <c r="A73" s="88"/>
      <c r="B73" s="15"/>
      <c r="C73" s="20"/>
      <c r="D73" s="20"/>
    </row>
    <row r="74" spans="1:4" ht="20.25" x14ac:dyDescent="0.25">
      <c r="A74" s="88"/>
      <c r="B74" s="15"/>
      <c r="C74" s="20"/>
      <c r="D74" s="20"/>
    </row>
    <row r="75" spans="1:4" ht="20.25" x14ac:dyDescent="0.25">
      <c r="A75" s="88"/>
      <c r="B75" s="15"/>
      <c r="C75" s="20"/>
      <c r="D75" s="20"/>
    </row>
    <row r="76" spans="1:4" ht="20.25" x14ac:dyDescent="0.25">
      <c r="A76" s="88"/>
      <c r="B76" s="15"/>
      <c r="C76" s="20"/>
      <c r="D76" s="20"/>
    </row>
    <row r="77" spans="1:4" ht="20.25" x14ac:dyDescent="0.25">
      <c r="A77" s="88"/>
      <c r="B77" s="15"/>
      <c r="C77" s="20"/>
      <c r="D77" s="20"/>
    </row>
    <row r="78" spans="1:4" ht="20.25" x14ac:dyDescent="0.25">
      <c r="A78" s="88"/>
      <c r="B78" s="15"/>
      <c r="C78" s="20"/>
      <c r="D78" s="20"/>
    </row>
    <row r="79" spans="1:4" ht="20.25" x14ac:dyDescent="0.25">
      <c r="A79" s="88"/>
      <c r="B79" s="15"/>
      <c r="C79" s="20"/>
      <c r="D79" s="20"/>
    </row>
    <row r="80" spans="1:4" ht="20.25" x14ac:dyDescent="0.25">
      <c r="A80" s="88"/>
      <c r="B80" s="15"/>
      <c r="C80" s="20"/>
      <c r="D80" s="20"/>
    </row>
    <row r="81" spans="1:4" ht="20.25" x14ac:dyDescent="0.25">
      <c r="A81" s="88"/>
      <c r="B81" s="15"/>
      <c r="C81" s="20"/>
      <c r="D81" s="20"/>
    </row>
    <row r="82" spans="1:4" ht="20.25" x14ac:dyDescent="0.25">
      <c r="A82" s="88"/>
      <c r="B82" s="15"/>
      <c r="C82" s="20"/>
      <c r="D82" s="20"/>
    </row>
    <row r="83" spans="1:4" ht="20.25" x14ac:dyDescent="0.25">
      <c r="A83" s="88"/>
      <c r="B83" s="15"/>
      <c r="C83" s="20"/>
      <c r="D83" s="20"/>
    </row>
    <row r="84" spans="1:4" ht="20.25" x14ac:dyDescent="0.25">
      <c r="A84" s="88"/>
      <c r="B84" s="15"/>
      <c r="C84" s="20"/>
      <c r="D84" s="20"/>
    </row>
    <row r="85" spans="1:4" ht="20.25" x14ac:dyDescent="0.25">
      <c r="A85" s="88"/>
      <c r="B85" s="15"/>
      <c r="C85" s="20"/>
      <c r="D85" s="20"/>
    </row>
    <row r="86" spans="1:4" ht="20.25" x14ac:dyDescent="0.25">
      <c r="A86" s="88"/>
      <c r="B86" s="15"/>
      <c r="C86" s="20"/>
      <c r="D86" s="20"/>
    </row>
    <row r="87" spans="1:4" ht="20.25" x14ac:dyDescent="0.25">
      <c r="A87" s="88"/>
      <c r="B87" s="15"/>
      <c r="C87" s="20"/>
      <c r="D87" s="20"/>
    </row>
    <row r="88" spans="1:4" ht="20.25" x14ac:dyDescent="0.25">
      <c r="A88" s="88"/>
      <c r="B88" s="15"/>
      <c r="C88" s="20"/>
      <c r="D88" s="20"/>
    </row>
    <row r="89" spans="1:4" ht="20.25" x14ac:dyDescent="0.25">
      <c r="A89" s="88"/>
      <c r="B89" s="15"/>
      <c r="C89" s="20"/>
      <c r="D89" s="20"/>
    </row>
    <row r="90" spans="1:4" ht="20.25" x14ac:dyDescent="0.25">
      <c r="A90" s="88"/>
      <c r="B90" s="15"/>
      <c r="C90" s="20"/>
      <c r="D90" s="20"/>
    </row>
    <row r="91" spans="1:4" ht="20.25" x14ac:dyDescent="0.25">
      <c r="A91" s="88"/>
      <c r="B91" s="15"/>
      <c r="C91" s="20"/>
      <c r="D91" s="20"/>
    </row>
    <row r="92" spans="1:4" ht="20.25" x14ac:dyDescent="0.25">
      <c r="A92" s="88"/>
      <c r="B92" s="15"/>
      <c r="C92" s="20"/>
      <c r="D92" s="20"/>
    </row>
    <row r="93" spans="1:4" ht="20.25" x14ac:dyDescent="0.25">
      <c r="A93" s="88"/>
      <c r="B93" s="15"/>
      <c r="C93" s="20"/>
      <c r="D93" s="20"/>
    </row>
    <row r="94" spans="1:4" ht="20.25" x14ac:dyDescent="0.25">
      <c r="A94" s="88"/>
      <c r="B94" s="15"/>
      <c r="C94" s="20"/>
      <c r="D94" s="20"/>
    </row>
    <row r="95" spans="1:4" ht="20.25" x14ac:dyDescent="0.25">
      <c r="A95" s="88"/>
      <c r="B95" s="15"/>
      <c r="C95" s="20"/>
      <c r="D95" s="20"/>
    </row>
    <row r="96" spans="1:4" ht="20.25" x14ac:dyDescent="0.25">
      <c r="A96" s="88"/>
      <c r="B96" s="15"/>
      <c r="C96" s="20"/>
      <c r="D96" s="20"/>
    </row>
    <row r="97" spans="1:4" ht="20.25" x14ac:dyDescent="0.25">
      <c r="A97" s="88"/>
      <c r="B97" s="15"/>
      <c r="C97" s="20"/>
      <c r="D97" s="20"/>
    </row>
    <row r="98" spans="1:4" ht="20.25" x14ac:dyDescent="0.25">
      <c r="A98" s="88"/>
      <c r="B98" s="15"/>
      <c r="C98" s="20"/>
      <c r="D98" s="20"/>
    </row>
    <row r="99" spans="1:4" ht="20.25" x14ac:dyDescent="0.25">
      <c r="A99" s="88"/>
      <c r="B99" s="15"/>
      <c r="C99" s="20"/>
      <c r="D99" s="20"/>
    </row>
    <row r="100" spans="1:4" ht="20.25" x14ac:dyDescent="0.25">
      <c r="A100" s="88"/>
      <c r="B100" s="15"/>
      <c r="C100" s="20"/>
      <c r="D100" s="20"/>
    </row>
    <row r="101" spans="1:4" ht="20.25" x14ac:dyDescent="0.25">
      <c r="A101" s="88"/>
      <c r="B101" s="15"/>
      <c r="C101" s="20"/>
      <c r="D101" s="20"/>
    </row>
    <row r="102" spans="1:4" ht="20.25" x14ac:dyDescent="0.25">
      <c r="A102" s="88"/>
      <c r="B102" s="15"/>
      <c r="C102" s="20"/>
      <c r="D102" s="20"/>
    </row>
    <row r="103" spans="1:4" ht="20.25" x14ac:dyDescent="0.25">
      <c r="A103" s="88"/>
      <c r="B103" s="15"/>
      <c r="C103" s="20"/>
      <c r="D103" s="20"/>
    </row>
    <row r="104" spans="1:4" ht="20.25" x14ac:dyDescent="0.25">
      <c r="A104" s="88"/>
      <c r="B104" s="15"/>
      <c r="C104" s="20"/>
      <c r="D104" s="20"/>
    </row>
    <row r="105" spans="1:4" ht="20.25" x14ac:dyDescent="0.25">
      <c r="A105" s="88"/>
      <c r="B105" s="15"/>
      <c r="C105" s="20"/>
      <c r="D105" s="20"/>
    </row>
    <row r="106" spans="1:4" ht="20.25" x14ac:dyDescent="0.25">
      <c r="A106" s="88"/>
      <c r="B106" s="15"/>
      <c r="C106" s="20"/>
      <c r="D106" s="20"/>
    </row>
    <row r="107" spans="1:4" ht="20.25" x14ac:dyDescent="0.25">
      <c r="A107" s="88"/>
      <c r="B107" s="15"/>
      <c r="C107" s="20"/>
      <c r="D107" s="20"/>
    </row>
    <row r="108" spans="1:4" ht="20.25" x14ac:dyDescent="0.25">
      <c r="A108" s="88"/>
      <c r="B108" s="15"/>
      <c r="C108" s="20"/>
      <c r="D108" s="20"/>
    </row>
    <row r="109" spans="1:4" ht="20.25" x14ac:dyDescent="0.25">
      <c r="A109" s="88"/>
      <c r="B109" s="15"/>
      <c r="C109" s="20"/>
      <c r="D109" s="20"/>
    </row>
    <row r="110" spans="1:4" ht="20.25" x14ac:dyDescent="0.25">
      <c r="A110" s="88"/>
      <c r="B110" s="15"/>
      <c r="C110" s="20"/>
      <c r="D110" s="20"/>
    </row>
    <row r="111" spans="1:4" ht="20.25" x14ac:dyDescent="0.25">
      <c r="A111" s="88"/>
      <c r="B111" s="15"/>
      <c r="C111" s="20"/>
      <c r="D111" s="20"/>
    </row>
    <row r="112" spans="1:4" ht="20.25" x14ac:dyDescent="0.25">
      <c r="A112" s="88"/>
      <c r="B112" s="15"/>
      <c r="C112" s="20"/>
      <c r="D112" s="20"/>
    </row>
    <row r="113" spans="1:4" ht="20.25" x14ac:dyDescent="0.25">
      <c r="A113" s="88"/>
      <c r="B113" s="15"/>
      <c r="C113" s="20"/>
      <c r="D113" s="20"/>
    </row>
    <row r="114" spans="1:4" ht="20.25" x14ac:dyDescent="0.25">
      <c r="A114" s="88"/>
      <c r="B114" s="15"/>
      <c r="C114" s="20"/>
      <c r="D114" s="20"/>
    </row>
    <row r="115" spans="1:4" ht="20.25" x14ac:dyDescent="0.25">
      <c r="A115" s="88"/>
      <c r="B115" s="15"/>
      <c r="C115" s="20"/>
      <c r="D115" s="20"/>
    </row>
    <row r="116" spans="1:4" ht="20.25" x14ac:dyDescent="0.25">
      <c r="A116" s="88"/>
      <c r="B116" s="15"/>
      <c r="C116" s="20"/>
      <c r="D116" s="20"/>
    </row>
    <row r="117" spans="1:4" ht="20.25" x14ac:dyDescent="0.25">
      <c r="A117" s="88"/>
      <c r="B117" s="15"/>
      <c r="C117" s="20"/>
      <c r="D117" s="20"/>
    </row>
    <row r="118" spans="1:4" ht="20.25" x14ac:dyDescent="0.25">
      <c r="A118" s="88"/>
      <c r="B118" s="15"/>
      <c r="C118" s="20"/>
      <c r="D118" s="20"/>
    </row>
    <row r="119" spans="1:4" ht="20.25" x14ac:dyDescent="0.25">
      <c r="A119" s="88"/>
      <c r="B119" s="15"/>
      <c r="C119" s="20"/>
      <c r="D119" s="20"/>
    </row>
    <row r="120" spans="1:4" ht="20.25" x14ac:dyDescent="0.25">
      <c r="A120" s="88"/>
      <c r="B120" s="15"/>
      <c r="C120" s="20"/>
      <c r="D120" s="20"/>
    </row>
    <row r="121" spans="1:4" ht="20.25" x14ac:dyDescent="0.25">
      <c r="A121" s="88"/>
      <c r="B121" s="15"/>
      <c r="C121" s="20"/>
      <c r="D121" s="20"/>
    </row>
    <row r="122" spans="1:4" ht="20.25" x14ac:dyDescent="0.25">
      <c r="A122" s="88"/>
      <c r="B122" s="15"/>
      <c r="C122" s="20"/>
      <c r="D122" s="20"/>
    </row>
    <row r="123" spans="1:4" ht="20.25" x14ac:dyDescent="0.25">
      <c r="A123" s="88"/>
      <c r="B123" s="15"/>
      <c r="C123" s="20"/>
      <c r="D123" s="20"/>
    </row>
    <row r="124" spans="1:4" ht="20.25" x14ac:dyDescent="0.25">
      <c r="A124" s="88"/>
      <c r="B124" s="15"/>
      <c r="C124" s="20"/>
      <c r="D124" s="20"/>
    </row>
    <row r="125" spans="1:4" ht="20.25" x14ac:dyDescent="0.25">
      <c r="A125" s="88"/>
      <c r="B125" s="15"/>
      <c r="C125" s="20"/>
      <c r="D125" s="20"/>
    </row>
    <row r="126" spans="1:4" ht="20.25" x14ac:dyDescent="0.25">
      <c r="A126" s="88"/>
      <c r="B126" s="15"/>
      <c r="C126" s="20"/>
      <c r="D126" s="20"/>
    </row>
    <row r="127" spans="1:4" ht="20.25" x14ac:dyDescent="0.25">
      <c r="A127" s="88"/>
      <c r="B127" s="15"/>
      <c r="C127" s="20"/>
      <c r="D127" s="20"/>
    </row>
    <row r="128" spans="1:4" ht="20.25" x14ac:dyDescent="0.25">
      <c r="A128" s="88"/>
      <c r="B128" s="15"/>
      <c r="C128" s="20"/>
      <c r="D128" s="20"/>
    </row>
    <row r="129" spans="1:4" ht="20.25" x14ac:dyDescent="0.25">
      <c r="A129" s="88"/>
      <c r="B129" s="15"/>
      <c r="C129" s="20"/>
      <c r="D129" s="20"/>
    </row>
    <row r="130" spans="1:4" ht="20.25" x14ac:dyDescent="0.25">
      <c r="A130" s="88"/>
      <c r="B130" s="15"/>
      <c r="C130" s="20"/>
      <c r="D130" s="20"/>
    </row>
    <row r="131" spans="1:4" ht="20.25" x14ac:dyDescent="0.25">
      <c r="A131" s="88"/>
      <c r="B131" s="15"/>
      <c r="C131" s="20"/>
      <c r="D131" s="20"/>
    </row>
    <row r="132" spans="1:4" ht="20.25" x14ac:dyDescent="0.25">
      <c r="A132" s="88"/>
      <c r="B132" s="15"/>
      <c r="C132" s="20"/>
      <c r="D132" s="20"/>
    </row>
    <row r="133" spans="1:4" ht="20.25" x14ac:dyDescent="0.25">
      <c r="A133" s="88"/>
      <c r="B133" s="15"/>
      <c r="C133" s="20"/>
      <c r="D133" s="20"/>
    </row>
    <row r="134" spans="1:4" ht="20.25" x14ac:dyDescent="0.25">
      <c r="A134" s="88"/>
      <c r="B134" s="15"/>
      <c r="C134" s="20"/>
      <c r="D134" s="20"/>
    </row>
    <row r="135" spans="1:4" ht="20.25" x14ac:dyDescent="0.25">
      <c r="A135" s="88"/>
      <c r="B135" s="15"/>
      <c r="C135" s="20"/>
      <c r="D135" s="20"/>
    </row>
    <row r="136" spans="1:4" ht="20.25" x14ac:dyDescent="0.25">
      <c r="A136" s="88"/>
      <c r="B136" s="15"/>
      <c r="C136" s="20"/>
      <c r="D136" s="20"/>
    </row>
    <row r="137" spans="1:4" ht="20.25" x14ac:dyDescent="0.25">
      <c r="A137" s="88"/>
      <c r="B137" s="15"/>
      <c r="C137" s="20"/>
      <c r="D137" s="20"/>
    </row>
    <row r="138" spans="1:4" ht="20.25" x14ac:dyDescent="0.25">
      <c r="A138" s="88"/>
      <c r="B138" s="15"/>
      <c r="C138" s="20"/>
      <c r="D138" s="20"/>
    </row>
    <row r="139" spans="1:4" ht="20.25" x14ac:dyDescent="0.25">
      <c r="A139" s="88"/>
      <c r="B139" s="15"/>
      <c r="C139" s="20"/>
      <c r="D139" s="20"/>
    </row>
    <row r="140" spans="1:4" ht="20.25" x14ac:dyDescent="0.25">
      <c r="A140" s="88"/>
      <c r="B140" s="15"/>
      <c r="C140" s="20"/>
      <c r="D140" s="20"/>
    </row>
    <row r="141" spans="1:4" ht="20.25" x14ac:dyDescent="0.25">
      <c r="A141" s="88"/>
      <c r="B141" s="15"/>
      <c r="C141" s="20"/>
      <c r="D141" s="20"/>
    </row>
    <row r="142" spans="1:4" ht="20.25" x14ac:dyDescent="0.25">
      <c r="A142" s="88"/>
      <c r="B142" s="15"/>
      <c r="C142" s="20"/>
      <c r="D142" s="20"/>
    </row>
    <row r="143" spans="1:4" ht="20.25" x14ac:dyDescent="0.25">
      <c r="A143" s="88"/>
      <c r="B143" s="15"/>
      <c r="C143" s="20"/>
      <c r="D143" s="20"/>
    </row>
    <row r="144" spans="1:4" ht="20.25" x14ac:dyDescent="0.25">
      <c r="A144" s="88"/>
      <c r="B144" s="15"/>
      <c r="C144" s="20"/>
      <c r="D144" s="20"/>
    </row>
    <row r="145" spans="1:4" ht="20.25" x14ac:dyDescent="0.25">
      <c r="A145" s="88"/>
      <c r="B145" s="15"/>
      <c r="C145" s="20"/>
      <c r="D145" s="20"/>
    </row>
    <row r="146" spans="1:4" ht="20.25" x14ac:dyDescent="0.25">
      <c r="A146" s="88"/>
      <c r="B146" s="15"/>
      <c r="C146" s="20"/>
      <c r="D146" s="20"/>
    </row>
    <row r="147" spans="1:4" ht="20.25" x14ac:dyDescent="0.25">
      <c r="A147" s="88"/>
      <c r="B147" s="15"/>
      <c r="C147" s="20"/>
      <c r="D147" s="20"/>
    </row>
    <row r="148" spans="1:4" ht="20.25" x14ac:dyDescent="0.25">
      <c r="A148" s="88"/>
      <c r="B148" s="15"/>
      <c r="C148" s="20"/>
      <c r="D148" s="20"/>
    </row>
    <row r="149" spans="1:4" ht="20.25" x14ac:dyDescent="0.25">
      <c r="A149" s="88"/>
      <c r="B149" s="15"/>
      <c r="C149" s="20"/>
      <c r="D149" s="20"/>
    </row>
    <row r="150" spans="1:4" ht="20.25" x14ac:dyDescent="0.25">
      <c r="A150" s="88"/>
      <c r="B150" s="15"/>
      <c r="C150" s="20"/>
      <c r="D150" s="20"/>
    </row>
    <row r="151" spans="1:4" ht="20.25" x14ac:dyDescent="0.25">
      <c r="A151" s="88"/>
      <c r="B151" s="15"/>
      <c r="C151" s="20"/>
      <c r="D151" s="20"/>
    </row>
    <row r="152" spans="1:4" ht="20.25" x14ac:dyDescent="0.25">
      <c r="A152" s="88"/>
      <c r="B152" s="15"/>
      <c r="C152" s="20"/>
      <c r="D152" s="20"/>
    </row>
    <row r="153" spans="1:4" ht="20.25" x14ac:dyDescent="0.25">
      <c r="A153" s="88"/>
      <c r="B153" s="15"/>
      <c r="C153" s="20"/>
      <c r="D153" s="20"/>
    </row>
    <row r="154" spans="1:4" ht="20.25" x14ac:dyDescent="0.25">
      <c r="A154" s="88"/>
      <c r="B154" s="15"/>
      <c r="C154" s="20"/>
      <c r="D154" s="20"/>
    </row>
    <row r="155" spans="1:4" ht="20.25" x14ac:dyDescent="0.25">
      <c r="A155" s="88"/>
      <c r="B155" s="15"/>
      <c r="C155" s="20"/>
      <c r="D155" s="20"/>
    </row>
    <row r="156" spans="1:4" ht="20.25" x14ac:dyDescent="0.25">
      <c r="A156" s="88"/>
      <c r="B156" s="15"/>
      <c r="C156" s="20"/>
      <c r="D156" s="20"/>
    </row>
    <row r="157" spans="1:4" ht="20.25" x14ac:dyDescent="0.25">
      <c r="A157" s="88"/>
      <c r="B157" s="15"/>
      <c r="C157" s="20"/>
      <c r="D157" s="20"/>
    </row>
    <row r="158" spans="1:4" ht="20.25" x14ac:dyDescent="0.25">
      <c r="A158" s="88"/>
      <c r="B158" s="15"/>
      <c r="C158" s="20"/>
      <c r="D158" s="20"/>
    </row>
    <row r="159" spans="1:4" ht="20.25" x14ac:dyDescent="0.25">
      <c r="A159" s="88"/>
      <c r="B159" s="15"/>
      <c r="C159" s="20"/>
      <c r="D159" s="20"/>
    </row>
    <row r="160" spans="1:4" ht="20.25" x14ac:dyDescent="0.25">
      <c r="A160" s="88"/>
      <c r="B160" s="15"/>
      <c r="C160" s="20"/>
      <c r="D160" s="20"/>
    </row>
    <row r="161" spans="1:4" ht="20.25" x14ac:dyDescent="0.25">
      <c r="A161" s="88"/>
      <c r="B161" s="15"/>
      <c r="C161" s="20"/>
      <c r="D161" s="20"/>
    </row>
    <row r="162" spans="1:4" ht="20.25" x14ac:dyDescent="0.25">
      <c r="A162" s="88"/>
      <c r="B162" s="15"/>
      <c r="C162" s="20"/>
      <c r="D162" s="20"/>
    </row>
    <row r="163" spans="1:4" ht="20.25" x14ac:dyDescent="0.25">
      <c r="A163" s="88"/>
      <c r="B163" s="15"/>
      <c r="C163" s="20"/>
      <c r="D163" s="20"/>
    </row>
    <row r="164" spans="1:4" ht="20.25" x14ac:dyDescent="0.25">
      <c r="A164" s="88"/>
      <c r="B164" s="15"/>
      <c r="C164" s="20"/>
      <c r="D164" s="20"/>
    </row>
    <row r="165" spans="1:4" ht="20.25" x14ac:dyDescent="0.25">
      <c r="A165" s="88"/>
      <c r="B165" s="15"/>
      <c r="C165" s="20"/>
      <c r="D165" s="20"/>
    </row>
    <row r="166" spans="1:4" ht="20.25" x14ac:dyDescent="0.25">
      <c r="A166" s="88"/>
      <c r="B166" s="15"/>
      <c r="C166" s="20"/>
      <c r="D166" s="20"/>
    </row>
    <row r="167" spans="1:4" ht="20.25" x14ac:dyDescent="0.25">
      <c r="A167" s="88"/>
      <c r="B167" s="15"/>
      <c r="C167" s="20"/>
      <c r="D167" s="20"/>
    </row>
    <row r="168" spans="1:4" ht="20.25" x14ac:dyDescent="0.25">
      <c r="A168" s="88"/>
      <c r="B168" s="15"/>
      <c r="C168" s="20"/>
      <c r="D168" s="20"/>
    </row>
    <row r="169" spans="1:4" ht="20.25" x14ac:dyDescent="0.25">
      <c r="A169" s="88"/>
      <c r="B169" s="15"/>
      <c r="C169" s="20"/>
      <c r="D169" s="20"/>
    </row>
    <row r="170" spans="1:4" ht="20.25" x14ac:dyDescent="0.25">
      <c r="A170" s="88"/>
      <c r="B170" s="15"/>
      <c r="C170" s="20"/>
      <c r="D170" s="20"/>
    </row>
    <row r="171" spans="1:4" ht="20.25" x14ac:dyDescent="0.25">
      <c r="A171" s="88"/>
      <c r="B171" s="15"/>
      <c r="C171" s="20"/>
      <c r="D171" s="20"/>
    </row>
    <row r="172" spans="1:4" ht="20.25" x14ac:dyDescent="0.25">
      <c r="A172" s="88"/>
      <c r="B172" s="15"/>
      <c r="C172" s="20"/>
      <c r="D172" s="20"/>
    </row>
    <row r="173" spans="1:4" ht="20.25" x14ac:dyDescent="0.25">
      <c r="A173" s="88"/>
      <c r="B173" s="15"/>
      <c r="C173" s="20"/>
      <c r="D173" s="20"/>
    </row>
    <row r="174" spans="1:4" ht="20.25" x14ac:dyDescent="0.25">
      <c r="A174" s="88"/>
      <c r="B174" s="15"/>
      <c r="C174" s="20"/>
      <c r="D174" s="20"/>
    </row>
    <row r="175" spans="1:4" ht="20.25" x14ac:dyDescent="0.25">
      <c r="A175" s="88"/>
      <c r="B175" s="15"/>
      <c r="C175" s="20"/>
      <c r="D175" s="20"/>
    </row>
    <row r="176" spans="1:4" ht="20.25" x14ac:dyDescent="0.25">
      <c r="A176" s="88"/>
      <c r="B176" s="15"/>
      <c r="C176" s="20"/>
      <c r="D176" s="20"/>
    </row>
    <row r="177" spans="1:4" ht="20.25" x14ac:dyDescent="0.25">
      <c r="A177" s="88"/>
      <c r="B177" s="15"/>
      <c r="C177" s="20"/>
      <c r="D177" s="20"/>
    </row>
    <row r="178" spans="1:4" ht="20.25" x14ac:dyDescent="0.25">
      <c r="A178" s="88"/>
      <c r="B178" s="15"/>
      <c r="C178" s="20"/>
      <c r="D178" s="20"/>
    </row>
    <row r="179" spans="1:4" ht="20.25" x14ac:dyDescent="0.25">
      <c r="A179" s="88"/>
      <c r="B179" s="15"/>
      <c r="C179" s="20"/>
      <c r="D179" s="20"/>
    </row>
    <row r="180" spans="1:4" ht="20.25" x14ac:dyDescent="0.25">
      <c r="A180" s="88"/>
      <c r="B180" s="15"/>
      <c r="C180" s="20"/>
      <c r="D180" s="20"/>
    </row>
    <row r="181" spans="1:4" ht="20.25" x14ac:dyDescent="0.25">
      <c r="A181" s="88"/>
      <c r="B181" s="15"/>
      <c r="C181" s="20"/>
      <c r="D181" s="20"/>
    </row>
    <row r="182" spans="1:4" ht="20.25" x14ac:dyDescent="0.25">
      <c r="A182" s="88"/>
      <c r="B182" s="15"/>
      <c r="C182" s="20"/>
      <c r="D182" s="20"/>
    </row>
    <row r="183" spans="1:4" ht="20.25" x14ac:dyDescent="0.25">
      <c r="A183" s="88"/>
      <c r="B183" s="15"/>
      <c r="C183" s="20"/>
      <c r="D183" s="20"/>
    </row>
    <row r="184" spans="1:4" ht="20.25" x14ac:dyDescent="0.25">
      <c r="A184" s="88"/>
      <c r="B184" s="15"/>
      <c r="C184" s="20"/>
      <c r="D184" s="20"/>
    </row>
    <row r="185" spans="1:4" ht="20.25" x14ac:dyDescent="0.25">
      <c r="A185" s="88"/>
      <c r="B185" s="15"/>
      <c r="C185" s="20"/>
      <c r="D185" s="20"/>
    </row>
    <row r="186" spans="1:4" ht="20.25" x14ac:dyDescent="0.25">
      <c r="A186" s="88"/>
      <c r="B186" s="15"/>
      <c r="C186" s="20"/>
      <c r="D186" s="20"/>
    </row>
    <row r="187" spans="1:4" ht="20.25" x14ac:dyDescent="0.25">
      <c r="A187" s="88"/>
      <c r="B187" s="15"/>
      <c r="C187" s="20"/>
      <c r="D187" s="20"/>
    </row>
    <row r="188" spans="1:4" ht="20.25" x14ac:dyDescent="0.25">
      <c r="A188" s="88"/>
      <c r="B188" s="15"/>
      <c r="C188" s="20"/>
      <c r="D188" s="20"/>
    </row>
    <row r="189" spans="1:4" ht="20.25" x14ac:dyDescent="0.25">
      <c r="A189" s="88"/>
      <c r="B189" s="15"/>
      <c r="C189" s="20"/>
      <c r="D189" s="20"/>
    </row>
    <row r="190" spans="1:4" ht="20.25" x14ac:dyDescent="0.25">
      <c r="A190" s="88"/>
      <c r="B190" s="15"/>
      <c r="C190" s="20"/>
      <c r="D190" s="20"/>
    </row>
    <row r="191" spans="1:4" ht="20.25" x14ac:dyDescent="0.25">
      <c r="A191" s="88"/>
      <c r="B191" s="15"/>
      <c r="C191" s="20"/>
      <c r="D191" s="20"/>
    </row>
    <row r="192" spans="1:4" ht="20.25" x14ac:dyDescent="0.25">
      <c r="A192" s="88"/>
      <c r="B192" s="15"/>
      <c r="C192" s="20"/>
      <c r="D192" s="20"/>
    </row>
    <row r="193" spans="1:4" ht="20.25" x14ac:dyDescent="0.25">
      <c r="A193" s="88"/>
      <c r="B193" s="15"/>
      <c r="C193" s="20"/>
      <c r="D193" s="20"/>
    </row>
    <row r="194" spans="1:4" ht="20.25" x14ac:dyDescent="0.25">
      <c r="A194" s="88"/>
      <c r="B194" s="15"/>
      <c r="C194" s="20"/>
      <c r="D194" s="20"/>
    </row>
    <row r="195" spans="1:4" ht="20.25" x14ac:dyDescent="0.25">
      <c r="A195" s="88"/>
      <c r="B195" s="15"/>
      <c r="C195" s="20"/>
      <c r="D195" s="20"/>
    </row>
    <row r="196" spans="1:4" ht="20.25" x14ac:dyDescent="0.25">
      <c r="A196" s="88"/>
      <c r="B196" s="15"/>
      <c r="C196" s="20"/>
      <c r="D196" s="20"/>
    </row>
    <row r="197" spans="1:4" ht="20.25" x14ac:dyDescent="0.25">
      <c r="A197" s="88"/>
      <c r="B197" s="15"/>
      <c r="C197" s="20"/>
      <c r="D197" s="20"/>
    </row>
    <row r="198" spans="1:4" ht="20.25" x14ac:dyDescent="0.25">
      <c r="A198" s="88"/>
      <c r="B198" s="15"/>
      <c r="C198" s="20"/>
      <c r="D198" s="20"/>
    </row>
    <row r="199" spans="1:4" ht="20.25" x14ac:dyDescent="0.25">
      <c r="A199" s="88"/>
      <c r="B199" s="15"/>
      <c r="C199" s="20"/>
      <c r="D199" s="20"/>
    </row>
    <row r="200" spans="1:4" ht="20.25" x14ac:dyDescent="0.25">
      <c r="A200" s="88"/>
      <c r="B200" s="15"/>
      <c r="C200" s="20"/>
      <c r="D200" s="20"/>
    </row>
    <row r="201" spans="1:4" ht="20.25" x14ac:dyDescent="0.25">
      <c r="A201" s="88"/>
      <c r="B201" s="15"/>
      <c r="C201" s="20"/>
      <c r="D201" s="20"/>
    </row>
    <row r="202" spans="1:4" ht="20.25" x14ac:dyDescent="0.25">
      <c r="A202" s="88"/>
      <c r="B202" s="15"/>
      <c r="C202" s="20"/>
      <c r="D202" s="20"/>
    </row>
    <row r="203" spans="1:4" ht="20.25" x14ac:dyDescent="0.25">
      <c r="A203" s="88"/>
      <c r="B203" s="15"/>
      <c r="C203" s="20"/>
      <c r="D203" s="20"/>
    </row>
    <row r="204" spans="1:4" ht="20.25" x14ac:dyDescent="0.25">
      <c r="A204" s="88"/>
      <c r="B204" s="15"/>
      <c r="C204" s="20"/>
      <c r="D204" s="20"/>
    </row>
    <row r="205" spans="1:4" ht="20.25" x14ac:dyDescent="0.25">
      <c r="A205" s="88"/>
      <c r="B205" s="15"/>
      <c r="C205" s="20"/>
      <c r="D205" s="20"/>
    </row>
    <row r="206" spans="1:4" ht="20.25" x14ac:dyDescent="0.25">
      <c r="A206" s="88"/>
      <c r="B206" s="15"/>
      <c r="C206" s="20"/>
      <c r="D206" s="20"/>
    </row>
    <row r="207" spans="1:4" ht="20.25" x14ac:dyDescent="0.25">
      <c r="A207" s="88"/>
      <c r="B207" s="15"/>
      <c r="C207" s="20"/>
      <c r="D207" s="20"/>
    </row>
    <row r="208" spans="1:4" x14ac:dyDescent="0.25">
      <c r="A208" s="70"/>
      <c r="B208" s="15"/>
      <c r="C208" s="15"/>
      <c r="D208" s="15"/>
    </row>
    <row r="209" spans="1:8" ht="20.25" x14ac:dyDescent="0.25">
      <c r="A209" s="70"/>
      <c r="B209" s="16" t="s">
        <v>84</v>
      </c>
      <c r="C209" s="16" t="s">
        <v>138</v>
      </c>
      <c r="D209" s="19" t="s">
        <v>84</v>
      </c>
      <c r="E209" s="19" t="s">
        <v>138</v>
      </c>
    </row>
    <row r="210" spans="1:8" ht="21" x14ac:dyDescent="0.35">
      <c r="A210" s="70"/>
      <c r="B210" s="17" t="s">
        <v>86</v>
      </c>
      <c r="C210" s="17" t="s">
        <v>54</v>
      </c>
      <c r="D210" t="s">
        <v>86</v>
      </c>
      <c r="F210" t="str">
        <f>IF(NOT(ISBLANK(D210)),D210,IF(NOT(ISBLANK(E210)),"     "&amp;E210,FALSE))</f>
        <v>Afectación Económica o presupuestal</v>
      </c>
      <c r="G210" t="s">
        <v>86</v>
      </c>
      <c r="H210" t="str">
        <f ca="1">IF(NOT(ISERROR(MATCH(G210,_xlfn.ANCHORARRAY(B221),0))),F223&amp;"Por favor no seleccionar los criterios de impacto",G210)</f>
        <v>Afectación Económica o presupuestal</v>
      </c>
    </row>
    <row r="211" spans="1:8" ht="21" x14ac:dyDescent="0.35">
      <c r="A211" s="70"/>
      <c r="B211" s="17" t="s">
        <v>86</v>
      </c>
      <c r="C211" s="17" t="s">
        <v>89</v>
      </c>
      <c r="E211" t="s">
        <v>54</v>
      </c>
      <c r="F211" t="str">
        <f t="shared" ref="F211:F221" si="0">IF(NOT(ISBLANK(D211)),D211,IF(NOT(ISBLANK(E211)),"     "&amp;E211,FALSE))</f>
        <v xml:space="preserve">     Afectación menor a 10 SMLMV .</v>
      </c>
    </row>
    <row r="212" spans="1:8" ht="21" x14ac:dyDescent="0.35">
      <c r="A212" s="70"/>
      <c r="B212" s="17" t="s">
        <v>86</v>
      </c>
      <c r="C212" s="17" t="s">
        <v>90</v>
      </c>
      <c r="E212" t="s">
        <v>89</v>
      </c>
      <c r="F212" t="str">
        <f t="shared" si="0"/>
        <v xml:space="preserve">     Entre 10 y 50 SMLMV </v>
      </c>
    </row>
    <row r="213" spans="1:8" ht="21" x14ac:dyDescent="0.35">
      <c r="A213" s="70"/>
      <c r="B213" s="17" t="s">
        <v>86</v>
      </c>
      <c r="C213" s="17" t="s">
        <v>91</v>
      </c>
      <c r="E213" t="s">
        <v>90</v>
      </c>
      <c r="F213" t="str">
        <f t="shared" si="0"/>
        <v xml:space="preserve">     Entre 50 y 100 SMLMV </v>
      </c>
    </row>
    <row r="214" spans="1:8" ht="21" x14ac:dyDescent="0.35">
      <c r="A214" s="70"/>
      <c r="B214" s="17" t="s">
        <v>86</v>
      </c>
      <c r="C214" s="17" t="s">
        <v>92</v>
      </c>
      <c r="E214" t="s">
        <v>91</v>
      </c>
      <c r="F214" t="str">
        <f t="shared" si="0"/>
        <v xml:space="preserve">     Entre 100 y 500 SMLMV </v>
      </c>
    </row>
    <row r="215" spans="1:8" ht="21" x14ac:dyDescent="0.35">
      <c r="A215" s="70"/>
      <c r="B215" s="17" t="s">
        <v>53</v>
      </c>
      <c r="C215" s="17" t="s">
        <v>93</v>
      </c>
      <c r="E215" t="s">
        <v>92</v>
      </c>
      <c r="F215" t="str">
        <f t="shared" si="0"/>
        <v xml:space="preserve">     Mayor a 500 SMLMV </v>
      </c>
    </row>
    <row r="216" spans="1:8" ht="21" x14ac:dyDescent="0.35">
      <c r="A216" s="70"/>
      <c r="B216" s="17" t="s">
        <v>53</v>
      </c>
      <c r="C216" s="17" t="s">
        <v>94</v>
      </c>
      <c r="D216" t="s">
        <v>53</v>
      </c>
      <c r="F216" t="str">
        <f t="shared" si="0"/>
        <v>Pérdida Reputacional</v>
      </c>
    </row>
    <row r="217" spans="1:8" ht="21" x14ac:dyDescent="0.35">
      <c r="A217" s="70"/>
      <c r="B217" s="17" t="s">
        <v>53</v>
      </c>
      <c r="C217" s="17" t="s">
        <v>96</v>
      </c>
      <c r="E217" t="s">
        <v>93</v>
      </c>
      <c r="F217" t="str">
        <f t="shared" si="0"/>
        <v xml:space="preserve">     El riesgo afecta la imagen de alguna área de la organización</v>
      </c>
    </row>
    <row r="218" spans="1:8" ht="21" x14ac:dyDescent="0.35">
      <c r="A218" s="70"/>
      <c r="B218" s="17" t="s">
        <v>53</v>
      </c>
      <c r="C218" s="17" t="s">
        <v>95</v>
      </c>
      <c r="E218" t="s">
        <v>94</v>
      </c>
      <c r="F218" t="str">
        <f t="shared" si="0"/>
        <v xml:space="preserve">     El riesgo afecta la imagen de la entidad internamente, de conocimiento general, nivel interno, de junta dircetiva y accionistas y/o de provedores</v>
      </c>
    </row>
    <row r="219" spans="1:8" ht="21" x14ac:dyDescent="0.35">
      <c r="A219" s="70"/>
      <c r="B219" s="17" t="s">
        <v>53</v>
      </c>
      <c r="C219" s="17" t="s">
        <v>114</v>
      </c>
      <c r="E219" t="s">
        <v>96</v>
      </c>
      <c r="F219" t="str">
        <f t="shared" si="0"/>
        <v xml:space="preserve">     El riesgo afecta la imagen de la entidad con algunos usuarios de relevancia frente al logro de los objetivos</v>
      </c>
    </row>
    <row r="220" spans="1:8" x14ac:dyDescent="0.25">
      <c r="A220" s="70"/>
      <c r="B220" s="18"/>
      <c r="C220" s="18"/>
      <c r="E220" t="s">
        <v>95</v>
      </c>
      <c r="F220" t="str">
        <f t="shared" si="0"/>
        <v xml:space="preserve">     El riesgo afecta la imagen de de la entidad con efecto publicitario sostenido a nivel de sector administrativo, nivel departamental o municipal</v>
      </c>
    </row>
    <row r="221" spans="1:8" x14ac:dyDescent="0.25">
      <c r="A221" s="70"/>
      <c r="B221" s="18" t="e" cm="1">
        <f t="array" aca="1" ref="B221:B223" ca="1">_xlfn.UNIQUE(Tabla1[[#All],[Criterios]])</f>
        <v>#NAME?</v>
      </c>
      <c r="C221" s="18"/>
      <c r="E221" t="s">
        <v>114</v>
      </c>
      <c r="F221" t="str">
        <f t="shared" si="0"/>
        <v xml:space="preserve">     El riesgo afecta la imagen de la entidad a nivel nacional, con efecto publicitarios sostenible a nivel país</v>
      </c>
    </row>
    <row r="222" spans="1:8" x14ac:dyDescent="0.25">
      <c r="A222" s="70"/>
      <c r="B222" s="18" t="e">
        <f ca="1"/>
        <v>#NAME?</v>
      </c>
      <c r="C222" s="18"/>
    </row>
    <row r="223" spans="1:8" x14ac:dyDescent="0.25">
      <c r="B223" s="18" t="e">
        <f ca="1"/>
        <v>#NAME?</v>
      </c>
      <c r="C223" s="18"/>
      <c r="F223" s="21" t="s">
        <v>140</v>
      </c>
    </row>
    <row r="224" spans="1:8" x14ac:dyDescent="0.25">
      <c r="B224" s="14"/>
      <c r="C224" s="14"/>
      <c r="F224" s="21" t="s">
        <v>141</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F16"/>
  <sheetViews>
    <sheetView topLeftCell="A13" workbookViewId="0">
      <selection activeCell="A5" sqref="A5"/>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74" t="s">
        <v>74</v>
      </c>
      <c r="C1" s="375"/>
      <c r="D1" s="375"/>
      <c r="E1" s="375"/>
      <c r="F1" s="376"/>
    </row>
    <row r="2" spans="2:6" ht="16.5" thickBot="1" x14ac:dyDescent="0.3">
      <c r="B2" s="76"/>
      <c r="C2" s="76"/>
      <c r="D2" s="76"/>
      <c r="E2" s="76"/>
      <c r="F2" s="76"/>
    </row>
    <row r="3" spans="2:6" ht="16.5" thickBot="1" x14ac:dyDescent="0.25">
      <c r="B3" s="378" t="s">
        <v>60</v>
      </c>
      <c r="C3" s="379"/>
      <c r="D3" s="379"/>
      <c r="E3" s="137" t="s">
        <v>61</v>
      </c>
      <c r="F3" s="138" t="s">
        <v>62</v>
      </c>
    </row>
    <row r="4" spans="2:6" ht="31.5" x14ac:dyDescent="0.2">
      <c r="B4" s="380" t="s">
        <v>63</v>
      </c>
      <c r="C4" s="382" t="s">
        <v>12</v>
      </c>
      <c r="D4" s="77" t="s">
        <v>13</v>
      </c>
      <c r="E4" s="78" t="s">
        <v>64</v>
      </c>
      <c r="F4" s="79">
        <v>0.25</v>
      </c>
    </row>
    <row r="5" spans="2:6" ht="47.25" x14ac:dyDescent="0.2">
      <c r="B5" s="381"/>
      <c r="C5" s="383"/>
      <c r="D5" s="80" t="s">
        <v>14</v>
      </c>
      <c r="E5" s="81" t="s">
        <v>65</v>
      </c>
      <c r="F5" s="82">
        <v>0.15</v>
      </c>
    </row>
    <row r="6" spans="2:6" ht="47.25" x14ac:dyDescent="0.2">
      <c r="B6" s="381"/>
      <c r="C6" s="383"/>
      <c r="D6" s="80" t="s">
        <v>15</v>
      </c>
      <c r="E6" s="81" t="s">
        <v>66</v>
      </c>
      <c r="F6" s="82">
        <v>0.1</v>
      </c>
    </row>
    <row r="7" spans="2:6" ht="63" x14ac:dyDescent="0.2">
      <c r="B7" s="381"/>
      <c r="C7" s="383" t="s">
        <v>16</v>
      </c>
      <c r="D7" s="80" t="s">
        <v>9</v>
      </c>
      <c r="E7" s="81" t="s">
        <v>67</v>
      </c>
      <c r="F7" s="82">
        <v>0.25</v>
      </c>
    </row>
    <row r="8" spans="2:6" ht="31.5" x14ac:dyDescent="0.2">
      <c r="B8" s="381"/>
      <c r="C8" s="383"/>
      <c r="D8" s="80" t="s">
        <v>8</v>
      </c>
      <c r="E8" s="81" t="s">
        <v>68</v>
      </c>
      <c r="F8" s="82">
        <v>0.15</v>
      </c>
    </row>
    <row r="9" spans="2:6" ht="47.25" x14ac:dyDescent="0.2">
      <c r="B9" s="381" t="s">
        <v>155</v>
      </c>
      <c r="C9" s="383" t="s">
        <v>17</v>
      </c>
      <c r="D9" s="80" t="s">
        <v>18</v>
      </c>
      <c r="E9" s="81" t="s">
        <v>69</v>
      </c>
      <c r="F9" s="83" t="s">
        <v>70</v>
      </c>
    </row>
    <row r="10" spans="2:6" ht="63" x14ac:dyDescent="0.2">
      <c r="B10" s="381"/>
      <c r="C10" s="383"/>
      <c r="D10" s="80" t="s">
        <v>19</v>
      </c>
      <c r="E10" s="81" t="s">
        <v>71</v>
      </c>
      <c r="F10" s="83" t="s">
        <v>70</v>
      </c>
    </row>
    <row r="11" spans="2:6" ht="47.25" x14ac:dyDescent="0.2">
      <c r="B11" s="381"/>
      <c r="C11" s="383" t="s">
        <v>20</v>
      </c>
      <c r="D11" s="80" t="s">
        <v>21</v>
      </c>
      <c r="E11" s="81" t="s">
        <v>72</v>
      </c>
      <c r="F11" s="83" t="s">
        <v>70</v>
      </c>
    </row>
    <row r="12" spans="2:6" ht="47.25" x14ac:dyDescent="0.2">
      <c r="B12" s="381"/>
      <c r="C12" s="383"/>
      <c r="D12" s="80" t="s">
        <v>22</v>
      </c>
      <c r="E12" s="81" t="s">
        <v>73</v>
      </c>
      <c r="F12" s="83" t="s">
        <v>70</v>
      </c>
    </row>
    <row r="13" spans="2:6" ht="31.5" x14ac:dyDescent="0.2">
      <c r="B13" s="381"/>
      <c r="C13" s="383" t="s">
        <v>23</v>
      </c>
      <c r="D13" s="80" t="s">
        <v>115</v>
      </c>
      <c r="E13" s="81" t="s">
        <v>118</v>
      </c>
      <c r="F13" s="83" t="s">
        <v>70</v>
      </c>
    </row>
    <row r="14" spans="2:6" ht="32.25" thickBot="1" x14ac:dyDescent="0.25">
      <c r="B14" s="384"/>
      <c r="C14" s="385"/>
      <c r="D14" s="84" t="s">
        <v>116</v>
      </c>
      <c r="E14" s="85" t="s">
        <v>117</v>
      </c>
      <c r="F14" s="86" t="s">
        <v>70</v>
      </c>
    </row>
    <row r="15" spans="2:6" ht="49.5" customHeight="1" x14ac:dyDescent="0.2">
      <c r="B15" s="377" t="s">
        <v>152</v>
      </c>
      <c r="C15" s="377"/>
      <c r="D15" s="377"/>
      <c r="E15" s="377"/>
      <c r="F15" s="377"/>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30</v>
      </c>
      <c r="E2" t="s">
        <v>127</v>
      </c>
    </row>
    <row r="3" spans="2:5" x14ac:dyDescent="0.25">
      <c r="B3" t="s">
        <v>31</v>
      </c>
      <c r="E3" t="s">
        <v>126</v>
      </c>
    </row>
    <row r="4" spans="2:5" x14ac:dyDescent="0.25">
      <c r="B4" t="s">
        <v>131</v>
      </c>
      <c r="E4" t="s">
        <v>128</v>
      </c>
    </row>
    <row r="5" spans="2:5" x14ac:dyDescent="0.25">
      <c r="B5" t="s">
        <v>130</v>
      </c>
    </row>
    <row r="8" spans="2:5" x14ac:dyDescent="0.25">
      <c r="B8" t="s">
        <v>82</v>
      </c>
    </row>
    <row r="9" spans="2:5" x14ac:dyDescent="0.25">
      <c r="B9" t="s">
        <v>39</v>
      </c>
    </row>
    <row r="10" spans="2:5" x14ac:dyDescent="0.25">
      <c r="B10" t="s">
        <v>40</v>
      </c>
    </row>
    <row r="13" spans="2:5" x14ac:dyDescent="0.25">
      <c r="B13" t="s">
        <v>125</v>
      </c>
    </row>
    <row r="14" spans="2:5" x14ac:dyDescent="0.25">
      <c r="B14" t="s">
        <v>119</v>
      </c>
    </row>
    <row r="15" spans="2:5" x14ac:dyDescent="0.25">
      <c r="B15" t="s">
        <v>122</v>
      </c>
    </row>
    <row r="16" spans="2:5" x14ac:dyDescent="0.25">
      <c r="B16" t="s">
        <v>120</v>
      </c>
    </row>
    <row r="17" spans="2:2" x14ac:dyDescent="0.25">
      <c r="B17" t="s">
        <v>121</v>
      </c>
    </row>
    <row r="18" spans="2:2" x14ac:dyDescent="0.25">
      <c r="B18" t="s">
        <v>123</v>
      </c>
    </row>
    <row r="19" spans="2:2" x14ac:dyDescent="0.25">
      <c r="B19" t="s">
        <v>124</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39</v>
      </c>
    </row>
    <row r="21" spans="1:1" x14ac:dyDescent="0.2">
      <c r="A21" s="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LENOVO</cp:lastModifiedBy>
  <cp:lastPrinted>2020-05-13T01:12:22Z</cp:lastPrinted>
  <dcterms:created xsi:type="dcterms:W3CDTF">2020-03-24T23:12:47Z</dcterms:created>
  <dcterms:modified xsi:type="dcterms:W3CDTF">2022-02-07T14:57:26Z</dcterms:modified>
</cp:coreProperties>
</file>