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final'!$A$8:$BR$134</definedName>
  </definedNames>
  <calcPr calcId="152511" concurrentCalc="0"/>
  <pivotCaches>
    <pivotCache cacheId="1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0" i="1" l="1"/>
  <c r="M14" i="1"/>
  <c r="M13" i="1"/>
  <c r="M12" i="1"/>
  <c r="M11" i="1"/>
  <c r="M10" i="1"/>
  <c r="J9" i="1"/>
  <c r="K9" i="1"/>
  <c r="S10" i="1"/>
  <c r="S9" i="1"/>
  <c r="V134" i="1"/>
  <c r="S134" i="1"/>
  <c r="V133" i="1"/>
  <c r="S133" i="1"/>
  <c r="V132" i="1"/>
  <c r="S132" i="1"/>
  <c r="V131" i="1"/>
  <c r="S131" i="1"/>
  <c r="V130" i="1"/>
  <c r="S130" i="1"/>
  <c r="V129" i="1"/>
  <c r="S129" i="1"/>
  <c r="J129" i="1"/>
  <c r="V128" i="1"/>
  <c r="S128" i="1"/>
  <c r="V127" i="1"/>
  <c r="S127" i="1"/>
  <c r="V126" i="1"/>
  <c r="S126" i="1"/>
  <c r="V125" i="1"/>
  <c r="S125" i="1"/>
  <c r="V124" i="1"/>
  <c r="S124" i="1"/>
  <c r="V123" i="1"/>
  <c r="S123" i="1"/>
  <c r="J123" i="1"/>
  <c r="V122" i="1"/>
  <c r="S122" i="1"/>
  <c r="V121" i="1"/>
  <c r="S121" i="1"/>
  <c r="V120" i="1"/>
  <c r="S120" i="1"/>
  <c r="V119" i="1"/>
  <c r="S119" i="1"/>
  <c r="V118" i="1"/>
  <c r="S118" i="1"/>
  <c r="V117" i="1"/>
  <c r="S117" i="1"/>
  <c r="AD117" i="1"/>
  <c r="AC117" i="1"/>
  <c r="J117" i="1"/>
  <c r="K117" i="1"/>
  <c r="V116" i="1"/>
  <c r="S116" i="1"/>
  <c r="V115" i="1"/>
  <c r="S115" i="1"/>
  <c r="V114" i="1"/>
  <c r="S114" i="1"/>
  <c r="V113" i="1"/>
  <c r="S113" i="1"/>
  <c r="V112" i="1"/>
  <c r="S112" i="1"/>
  <c r="V111" i="1"/>
  <c r="S111" i="1"/>
  <c r="J111" i="1"/>
  <c r="V110" i="1"/>
  <c r="S110" i="1"/>
  <c r="V109" i="1"/>
  <c r="S109" i="1"/>
  <c r="V108" i="1"/>
  <c r="S108" i="1"/>
  <c r="V107" i="1"/>
  <c r="S107" i="1"/>
  <c r="V106" i="1"/>
  <c r="S106" i="1"/>
  <c r="V105" i="1"/>
  <c r="S105" i="1"/>
  <c r="AD105" i="1"/>
  <c r="AC105" i="1"/>
  <c r="J105" i="1"/>
  <c r="K105" i="1"/>
  <c r="V104" i="1"/>
  <c r="S104" i="1"/>
  <c r="V103" i="1"/>
  <c r="S103" i="1"/>
  <c r="V102" i="1"/>
  <c r="S102" i="1"/>
  <c r="V101" i="1"/>
  <c r="S101" i="1"/>
  <c r="V100" i="1"/>
  <c r="S100" i="1"/>
  <c r="V99" i="1"/>
  <c r="S99" i="1"/>
  <c r="J99" i="1"/>
  <c r="V98" i="1"/>
  <c r="S98" i="1"/>
  <c r="V97" i="1"/>
  <c r="S97" i="1"/>
  <c r="V96" i="1"/>
  <c r="S96" i="1"/>
  <c r="V95" i="1"/>
  <c r="S95" i="1"/>
  <c r="V94" i="1"/>
  <c r="S94" i="1"/>
  <c r="V93" i="1"/>
  <c r="S93" i="1"/>
  <c r="AD93" i="1"/>
  <c r="AC93" i="1"/>
  <c r="J93" i="1"/>
  <c r="K93" i="1"/>
  <c r="V92" i="1"/>
  <c r="S92" i="1"/>
  <c r="V91" i="1"/>
  <c r="S91" i="1"/>
  <c r="V90" i="1"/>
  <c r="S90" i="1"/>
  <c r="V89" i="1"/>
  <c r="S89" i="1"/>
  <c r="V88" i="1"/>
  <c r="S88" i="1"/>
  <c r="V87" i="1"/>
  <c r="S87" i="1"/>
  <c r="J87" i="1"/>
  <c r="V86" i="1"/>
  <c r="S86" i="1"/>
  <c r="V85" i="1"/>
  <c r="S85" i="1"/>
  <c r="V84" i="1"/>
  <c r="S84" i="1"/>
  <c r="V83" i="1"/>
  <c r="S83" i="1"/>
  <c r="V82" i="1"/>
  <c r="S82" i="1"/>
  <c r="V81" i="1"/>
  <c r="S81" i="1"/>
  <c r="AD81" i="1"/>
  <c r="AC81" i="1"/>
  <c r="J81" i="1"/>
  <c r="K81" i="1"/>
  <c r="V80" i="1"/>
  <c r="S80" i="1"/>
  <c r="V79" i="1"/>
  <c r="S79" i="1"/>
  <c r="V78" i="1"/>
  <c r="S78" i="1"/>
  <c r="V77" i="1"/>
  <c r="S77" i="1"/>
  <c r="V76" i="1"/>
  <c r="S76" i="1"/>
  <c r="V75" i="1"/>
  <c r="S75" i="1"/>
  <c r="Z75" i="1"/>
  <c r="AB75" i="1"/>
  <c r="J75" i="1"/>
  <c r="M92" i="1"/>
  <c r="M112" i="1"/>
  <c r="M120" i="1"/>
  <c r="M91" i="1"/>
  <c r="M90" i="1"/>
  <c r="M109" i="1"/>
  <c r="M78" i="1"/>
  <c r="M85" i="1"/>
  <c r="M127" i="1"/>
  <c r="M122" i="1"/>
  <c r="M119" i="1"/>
  <c r="M94" i="1"/>
  <c r="M134" i="1"/>
  <c r="M82" i="1"/>
  <c r="M124" i="1"/>
  <c r="M97" i="1"/>
  <c r="M100" i="1"/>
  <c r="M88" i="1"/>
  <c r="M130" i="1"/>
  <c r="M115" i="1"/>
  <c r="M80" i="1"/>
  <c r="M79" i="1"/>
  <c r="M83" i="1"/>
  <c r="M128" i="1"/>
  <c r="M96" i="1"/>
  <c r="M77" i="1"/>
  <c r="M102" i="1"/>
  <c r="M107" i="1"/>
  <c r="M106" i="1"/>
  <c r="M108" i="1"/>
  <c r="M126" i="1"/>
  <c r="M84" i="1"/>
  <c r="M125" i="1"/>
  <c r="M133" i="1"/>
  <c r="M132" i="1"/>
  <c r="M110" i="1"/>
  <c r="M103" i="1"/>
  <c r="M118" i="1"/>
  <c r="M104" i="1"/>
  <c r="M86" i="1"/>
  <c r="M101" i="1"/>
  <c r="M76" i="1"/>
  <c r="M131" i="1"/>
  <c r="M121" i="1"/>
  <c r="M114" i="1"/>
  <c r="M113" i="1"/>
  <c r="M98" i="1"/>
  <c r="M116" i="1"/>
  <c r="M89" i="1"/>
  <c r="M95" i="1"/>
  <c r="Z115" i="1"/>
  <c r="Z125" i="1"/>
  <c r="AD79" i="1"/>
  <c r="AC79" i="1"/>
  <c r="Z89" i="1"/>
  <c r="AB89" i="1"/>
  <c r="Z101" i="1"/>
  <c r="AA101" i="1"/>
  <c r="AD126" i="1"/>
  <c r="AC126" i="1"/>
  <c r="AD98" i="1"/>
  <c r="AC98" i="1"/>
  <c r="AD132" i="1"/>
  <c r="AC132" i="1"/>
  <c r="Z86" i="1"/>
  <c r="AB86" i="1"/>
  <c r="AD115" i="1"/>
  <c r="AC115" i="1"/>
  <c r="AD122" i="1"/>
  <c r="AC122" i="1"/>
  <c r="AD119" i="1"/>
  <c r="AC119" i="1"/>
  <c r="AD130" i="1"/>
  <c r="AC130" i="1"/>
  <c r="AD108" i="1"/>
  <c r="AC108" i="1"/>
  <c r="AD88" i="1"/>
  <c r="AC88" i="1"/>
  <c r="AD95" i="1"/>
  <c r="AC95" i="1"/>
  <c r="AD112" i="1"/>
  <c r="AC112" i="1"/>
  <c r="Z117" i="1"/>
  <c r="AB117" i="1"/>
  <c r="Z108" i="1"/>
  <c r="AB108" i="1"/>
  <c r="AD125" i="1"/>
  <c r="AC125" i="1"/>
  <c r="AD75" i="1"/>
  <c r="AC75" i="1"/>
  <c r="Z79" i="1"/>
  <c r="AB79" i="1"/>
  <c r="AD83" i="1"/>
  <c r="AC83" i="1"/>
  <c r="Z98" i="1"/>
  <c r="AB98" i="1"/>
  <c r="AD101" i="1"/>
  <c r="AC101" i="1"/>
  <c r="AD86" i="1"/>
  <c r="AC86" i="1"/>
  <c r="AD80" i="1"/>
  <c r="AC80" i="1"/>
  <c r="AD85" i="1"/>
  <c r="AC85" i="1"/>
  <c r="AD109" i="1"/>
  <c r="AC109" i="1"/>
  <c r="AA117" i="1"/>
  <c r="AE117" i="1"/>
  <c r="Z132" i="1"/>
  <c r="AB132" i="1"/>
  <c r="Z129" i="1"/>
  <c r="AB129" i="1"/>
  <c r="Z118" i="1"/>
  <c r="AB118" i="1"/>
  <c r="AD78" i="1"/>
  <c r="AC78" i="1"/>
  <c r="Z82" i="1"/>
  <c r="AB82" i="1"/>
  <c r="Z94" i="1"/>
  <c r="AB94" i="1"/>
  <c r="Z111" i="1"/>
  <c r="AB111" i="1"/>
  <c r="AD118" i="1"/>
  <c r="AC118" i="1"/>
  <c r="AD82" i="1"/>
  <c r="AC82" i="1"/>
  <c r="AD94" i="1"/>
  <c r="AC94" i="1"/>
  <c r="AD102" i="1"/>
  <c r="AC102" i="1"/>
  <c r="AD111" i="1"/>
  <c r="AC111" i="1"/>
  <c r="AD116" i="1"/>
  <c r="AC116" i="1"/>
  <c r="AD120" i="1"/>
  <c r="AC120" i="1"/>
  <c r="Z122" i="1"/>
  <c r="AB122" i="1"/>
  <c r="AD76" i="1"/>
  <c r="AC76" i="1"/>
  <c r="AD133" i="1"/>
  <c r="AC133" i="1"/>
  <c r="AD92" i="1"/>
  <c r="AC92" i="1"/>
  <c r="Z92" i="1"/>
  <c r="AD104" i="1"/>
  <c r="AC104" i="1"/>
  <c r="Z104" i="1"/>
  <c r="AD103" i="1"/>
  <c r="AC103" i="1"/>
  <c r="Z103" i="1"/>
  <c r="AD128" i="1"/>
  <c r="AC128" i="1"/>
  <c r="Z128" i="1"/>
  <c r="K75" i="1"/>
  <c r="AA75" i="1"/>
  <c r="Z76" i="1"/>
  <c r="Z80" i="1"/>
  <c r="Z83" i="1"/>
  <c r="AD90" i="1"/>
  <c r="AC90" i="1"/>
  <c r="Z90" i="1"/>
  <c r="AD89" i="1"/>
  <c r="AC89" i="1"/>
  <c r="AD100" i="1"/>
  <c r="AC100" i="1"/>
  <c r="Z100" i="1"/>
  <c r="AD99" i="1"/>
  <c r="AC99" i="1"/>
  <c r="Z99" i="1"/>
  <c r="AD110" i="1"/>
  <c r="AC110" i="1"/>
  <c r="Z110" i="1"/>
  <c r="AD114" i="1"/>
  <c r="AC114" i="1"/>
  <c r="Z114" i="1"/>
  <c r="AD113" i="1"/>
  <c r="AC113" i="1"/>
  <c r="Z113" i="1"/>
  <c r="AD124" i="1"/>
  <c r="AC124" i="1"/>
  <c r="Z124" i="1"/>
  <c r="AD123" i="1"/>
  <c r="AC123" i="1"/>
  <c r="Z123" i="1"/>
  <c r="AD127" i="1"/>
  <c r="AC127" i="1"/>
  <c r="AD91" i="1"/>
  <c r="AC91" i="1"/>
  <c r="K111" i="1"/>
  <c r="Z84" i="1"/>
  <c r="AD84" i="1"/>
  <c r="AC84" i="1"/>
  <c r="Z87" i="1"/>
  <c r="AD87" i="1"/>
  <c r="AC87" i="1"/>
  <c r="Z91" i="1"/>
  <c r="AD107" i="1"/>
  <c r="AC107" i="1"/>
  <c r="Z107" i="1"/>
  <c r="AD106" i="1"/>
  <c r="AC106" i="1"/>
  <c r="Z106" i="1"/>
  <c r="AD131" i="1"/>
  <c r="AC131" i="1"/>
  <c r="Z131" i="1"/>
  <c r="AD134" i="1"/>
  <c r="AC134" i="1"/>
  <c r="Z77" i="1"/>
  <c r="AD77" i="1"/>
  <c r="AC77" i="1"/>
  <c r="Z78" i="1"/>
  <c r="Z81" i="1"/>
  <c r="Z85" i="1"/>
  <c r="K87" i="1"/>
  <c r="Z88" i="1"/>
  <c r="AD97" i="1"/>
  <c r="AC97" i="1"/>
  <c r="Z97" i="1"/>
  <c r="AD96" i="1"/>
  <c r="AC96" i="1"/>
  <c r="Z96" i="1"/>
  <c r="AB115" i="1"/>
  <c r="AA115" i="1"/>
  <c r="AD121" i="1"/>
  <c r="AC121" i="1"/>
  <c r="Z121" i="1"/>
  <c r="Z120" i="1"/>
  <c r="AB125" i="1"/>
  <c r="AA125" i="1"/>
  <c r="AE125" i="1"/>
  <c r="Z95" i="1"/>
  <c r="Z102" i="1"/>
  <c r="Z105" i="1"/>
  <c r="Z109" i="1"/>
  <c r="Z112" i="1"/>
  <c r="Z116" i="1"/>
  <c r="Z119" i="1"/>
  <c r="Z126" i="1"/>
  <c r="AD129" i="1"/>
  <c r="AC129" i="1"/>
  <c r="Z133" i="1"/>
  <c r="Z127" i="1"/>
  <c r="K129" i="1"/>
  <c r="Z130" i="1"/>
  <c r="Z134" i="1"/>
  <c r="Z93" i="1"/>
  <c r="K99" i="1"/>
  <c r="K123" i="1"/>
  <c r="AA89" i="1"/>
  <c r="AA94" i="1"/>
  <c r="AE94" i="1"/>
  <c r="AA98" i="1"/>
  <c r="AE98" i="1"/>
  <c r="AA129" i="1"/>
  <c r="AB101" i="1"/>
  <c r="AA86" i="1"/>
  <c r="AE86" i="1"/>
  <c r="AE101" i="1"/>
  <c r="AA108" i="1"/>
  <c r="AE108" i="1"/>
  <c r="AA82" i="1"/>
  <c r="AE82" i="1"/>
  <c r="AE115" i="1"/>
  <c r="AE129" i="1"/>
  <c r="AA111" i="1"/>
  <c r="AE111" i="1"/>
  <c r="AE75" i="1"/>
  <c r="AA122" i="1"/>
  <c r="AE122" i="1"/>
  <c r="AA79" i="1"/>
  <c r="AE79" i="1"/>
  <c r="AA132" i="1"/>
  <c r="AE132" i="1"/>
  <c r="AA118" i="1"/>
  <c r="AE118" i="1"/>
  <c r="AA123" i="1"/>
  <c r="AE123" i="1"/>
  <c r="AB123" i="1"/>
  <c r="AB114" i="1"/>
  <c r="AA114" i="1"/>
  <c r="AE114" i="1"/>
  <c r="AB128" i="1"/>
  <c r="AA128" i="1"/>
  <c r="AE128" i="1"/>
  <c r="AB112" i="1"/>
  <c r="AA112" i="1"/>
  <c r="AE112" i="1"/>
  <c r="AB95" i="1"/>
  <c r="AA95" i="1"/>
  <c r="AE95" i="1"/>
  <c r="AA120" i="1"/>
  <c r="AE120" i="1"/>
  <c r="AB120" i="1"/>
  <c r="AA96" i="1"/>
  <c r="AE96" i="1"/>
  <c r="AB96" i="1"/>
  <c r="AA88" i="1"/>
  <c r="AE88" i="1"/>
  <c r="AB88" i="1"/>
  <c r="AA78" i="1"/>
  <c r="AE78" i="1"/>
  <c r="AB78" i="1"/>
  <c r="AB131" i="1"/>
  <c r="AA131" i="1"/>
  <c r="AE131" i="1"/>
  <c r="AA106" i="1"/>
  <c r="AE106" i="1"/>
  <c r="AB106" i="1"/>
  <c r="AA87" i="1"/>
  <c r="AE87" i="1"/>
  <c r="AB87" i="1"/>
  <c r="AA130" i="1"/>
  <c r="AE130" i="1"/>
  <c r="AB130" i="1"/>
  <c r="AB133" i="1"/>
  <c r="AA133" i="1"/>
  <c r="AE133" i="1"/>
  <c r="AB116" i="1"/>
  <c r="AA116" i="1"/>
  <c r="AE116" i="1"/>
  <c r="AB102" i="1"/>
  <c r="AA102" i="1"/>
  <c r="AE102" i="1"/>
  <c r="AA99" i="1"/>
  <c r="AE99" i="1"/>
  <c r="AB99" i="1"/>
  <c r="AB104" i="1"/>
  <c r="AA104" i="1"/>
  <c r="AE104" i="1"/>
  <c r="AB93" i="1"/>
  <c r="AA93" i="1"/>
  <c r="AE93" i="1"/>
  <c r="AB126" i="1"/>
  <c r="AA126" i="1"/>
  <c r="AE126" i="1"/>
  <c r="AB109" i="1"/>
  <c r="AA109" i="1"/>
  <c r="AE109" i="1"/>
  <c r="AB121" i="1"/>
  <c r="AA121" i="1"/>
  <c r="AE121" i="1"/>
  <c r="AB124" i="1"/>
  <c r="AA124" i="1"/>
  <c r="AE124" i="1"/>
  <c r="AA113" i="1"/>
  <c r="AE113" i="1"/>
  <c r="AB113" i="1"/>
  <c r="AA110" i="1"/>
  <c r="AE110" i="1"/>
  <c r="AB110" i="1"/>
  <c r="AB100" i="1"/>
  <c r="AA100" i="1"/>
  <c r="AE100" i="1"/>
  <c r="AB83" i="1"/>
  <c r="AA83" i="1"/>
  <c r="AE83" i="1"/>
  <c r="AB76" i="1"/>
  <c r="AA76" i="1"/>
  <c r="AE76" i="1"/>
  <c r="AA103" i="1"/>
  <c r="AE103" i="1"/>
  <c r="AB103" i="1"/>
  <c r="AB92" i="1"/>
  <c r="AA92" i="1"/>
  <c r="AE92" i="1"/>
  <c r="AB81" i="1"/>
  <c r="AA81" i="1"/>
  <c r="AE81" i="1"/>
  <c r="AB80" i="1"/>
  <c r="AA80" i="1"/>
  <c r="AE80" i="1"/>
  <c r="AA134" i="1"/>
  <c r="AE134" i="1"/>
  <c r="AB134" i="1"/>
  <c r="AA127" i="1"/>
  <c r="AE127" i="1"/>
  <c r="AB127" i="1"/>
  <c r="AB119" i="1"/>
  <c r="AA119" i="1"/>
  <c r="AE119" i="1"/>
  <c r="AB105" i="1"/>
  <c r="AA105" i="1"/>
  <c r="AE105" i="1"/>
  <c r="AB97" i="1"/>
  <c r="AA97" i="1"/>
  <c r="AE97" i="1"/>
  <c r="AA85" i="1"/>
  <c r="AE85" i="1"/>
  <c r="AB85" i="1"/>
  <c r="AA77" i="1"/>
  <c r="AE77" i="1"/>
  <c r="AB77" i="1"/>
  <c r="AB107" i="1"/>
  <c r="AA107" i="1"/>
  <c r="AE107" i="1"/>
  <c r="AA91" i="1"/>
  <c r="AE91" i="1"/>
  <c r="AB91" i="1"/>
  <c r="AA84" i="1"/>
  <c r="AE84" i="1"/>
  <c r="AB84" i="1"/>
  <c r="AB90" i="1"/>
  <c r="AA90" i="1"/>
  <c r="AE90" i="1"/>
  <c r="AE89" i="1"/>
  <c r="V9" i="1"/>
  <c r="M41" i="1"/>
  <c r="M42" i="1"/>
  <c r="M74" i="1"/>
  <c r="M71" i="1"/>
  <c r="M52" i="1"/>
  <c r="M56" i="1"/>
  <c r="M72" i="1"/>
  <c r="M59" i="1"/>
  <c r="M40" i="1"/>
  <c r="M46" i="1"/>
  <c r="M67" i="1"/>
  <c r="M48" i="1"/>
  <c r="M58" i="1"/>
  <c r="M17" i="1"/>
  <c r="M26" i="1"/>
  <c r="M24" i="1"/>
  <c r="M66" i="1"/>
  <c r="M19" i="1"/>
  <c r="M55" i="1"/>
  <c r="M32" i="1"/>
  <c r="M68" i="1"/>
  <c r="M22" i="1"/>
  <c r="M64" i="1"/>
  <c r="M20" i="1"/>
  <c r="M44" i="1"/>
  <c r="M54" i="1"/>
  <c r="M73" i="1"/>
  <c r="M29" i="1"/>
  <c r="M53" i="1"/>
  <c r="M70" i="1"/>
  <c r="M60" i="1"/>
  <c r="M47" i="1"/>
  <c r="M43" i="1"/>
  <c r="M25" i="1"/>
  <c r="M16" i="1"/>
  <c r="M62" i="1"/>
  <c r="M50" i="1"/>
  <c r="M49" i="1"/>
  <c r="M18" i="1"/>
  <c r="M30" i="1"/>
  <c r="M23" i="1"/>
  <c r="M65" i="1"/>
  <c r="M28" i="1"/>
  <c r="M61" i="1"/>
  <c r="M31" i="1"/>
  <c r="Z9" i="1"/>
  <c r="AB9" i="1"/>
  <c r="Z10" i="1"/>
  <c r="F221" i="13"/>
  <c r="F211" i="13"/>
  <c r="F212" i="13"/>
  <c r="F213" i="13"/>
  <c r="F214" i="13"/>
  <c r="F215" i="13"/>
  <c r="F216" i="13"/>
  <c r="F217" i="13"/>
  <c r="F218" i="13"/>
  <c r="F219" i="13"/>
  <c r="F220" i="13"/>
  <c r="F210" i="13"/>
  <c r="B221" i="13" a="1"/>
  <c r="B221" i="13"/>
  <c r="S57" i="1"/>
  <c r="S52" i="1"/>
  <c r="S46"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74" i="1"/>
  <c r="S74" i="1"/>
  <c r="V73" i="1"/>
  <c r="S73" i="1"/>
  <c r="V72" i="1"/>
  <c r="S72" i="1"/>
  <c r="V71" i="1"/>
  <c r="S71" i="1"/>
  <c r="V70" i="1"/>
  <c r="S70" i="1"/>
  <c r="V69" i="1"/>
  <c r="S69" i="1"/>
  <c r="J69" i="1"/>
  <c r="K69" i="1"/>
  <c r="V68" i="1"/>
  <c r="S68" i="1"/>
  <c r="V67" i="1"/>
  <c r="S67" i="1"/>
  <c r="V66" i="1"/>
  <c r="S66" i="1"/>
  <c r="V65" i="1"/>
  <c r="S65" i="1"/>
  <c r="V64" i="1"/>
  <c r="S64" i="1"/>
  <c r="V63" i="1"/>
  <c r="S63" i="1"/>
  <c r="J63" i="1"/>
  <c r="K63" i="1"/>
  <c r="V62" i="1"/>
  <c r="S62" i="1"/>
  <c r="V61" i="1"/>
  <c r="S61" i="1"/>
  <c r="V60" i="1"/>
  <c r="S60" i="1"/>
  <c r="V59" i="1"/>
  <c r="S59" i="1"/>
  <c r="V58" i="1"/>
  <c r="S58" i="1"/>
  <c r="V57" i="1"/>
  <c r="J57" i="1"/>
  <c r="K57" i="1"/>
  <c r="V56" i="1"/>
  <c r="S56" i="1"/>
  <c r="V55" i="1"/>
  <c r="S55" i="1"/>
  <c r="V54" i="1"/>
  <c r="S54" i="1"/>
  <c r="V53" i="1"/>
  <c r="S53" i="1"/>
  <c r="V52" i="1"/>
  <c r="V51" i="1"/>
  <c r="S51" i="1"/>
  <c r="J51" i="1"/>
  <c r="K51" i="1"/>
  <c r="V50" i="1"/>
  <c r="S50" i="1"/>
  <c r="V49" i="1"/>
  <c r="S49" i="1"/>
  <c r="V48" i="1"/>
  <c r="S48" i="1"/>
  <c r="V47" i="1"/>
  <c r="S47" i="1"/>
  <c r="V46" i="1"/>
  <c r="V45" i="1"/>
  <c r="S45" i="1"/>
  <c r="J45" i="1"/>
  <c r="K45" i="1"/>
  <c r="V44" i="1"/>
  <c r="S44" i="1"/>
  <c r="V43" i="1"/>
  <c r="S43" i="1"/>
  <c r="V42" i="1"/>
  <c r="S42" i="1"/>
  <c r="V41" i="1"/>
  <c r="S41" i="1"/>
  <c r="V40" i="1"/>
  <c r="S40" i="1"/>
  <c r="V39" i="1"/>
  <c r="S39" i="1"/>
  <c r="J39" i="1"/>
  <c r="K39" i="1"/>
  <c r="V32" i="1"/>
  <c r="S32" i="1"/>
  <c r="V31" i="1"/>
  <c r="S31" i="1"/>
  <c r="V30" i="1"/>
  <c r="S30" i="1"/>
  <c r="V29" i="1"/>
  <c r="S29" i="1"/>
  <c r="V28" i="1"/>
  <c r="S28" i="1"/>
  <c r="V27" i="1"/>
  <c r="S27" i="1"/>
  <c r="J27" i="1"/>
  <c r="K27" i="1"/>
  <c r="V26" i="1"/>
  <c r="S26" i="1"/>
  <c r="V25" i="1"/>
  <c r="S25" i="1"/>
  <c r="V24" i="1"/>
  <c r="S24" i="1"/>
  <c r="V23" i="1"/>
  <c r="S23" i="1"/>
  <c r="V22" i="1"/>
  <c r="S22" i="1"/>
  <c r="V21" i="1"/>
  <c r="S21" i="1"/>
  <c r="J21" i="1"/>
  <c r="K21" i="1"/>
  <c r="J15" i="1"/>
  <c r="V20" i="1"/>
  <c r="S20" i="1"/>
  <c r="V19" i="1"/>
  <c r="S19" i="1"/>
  <c r="V18" i="1"/>
  <c r="S18" i="1"/>
  <c r="V17" i="1"/>
  <c r="S17" i="1"/>
  <c r="V16" i="1"/>
  <c r="S16" i="1"/>
  <c r="V15" i="1"/>
  <c r="S15" i="1"/>
  <c r="AD55" i="1"/>
  <c r="AC55" i="1"/>
  <c r="AD56" i="1"/>
  <c r="AC56" i="1"/>
  <c r="K15" i="1"/>
  <c r="Z15" i="1"/>
  <c r="Z69" i="1"/>
  <c r="Z63" i="1"/>
  <c r="Z57" i="1"/>
  <c r="Z51" i="1"/>
  <c r="Z55" i="1"/>
  <c r="Z56" i="1"/>
  <c r="Z45" i="1"/>
  <c r="Z39" i="1"/>
  <c r="Z27" i="1"/>
  <c r="Z21" i="1"/>
  <c r="AA69" i="1"/>
  <c r="AB69" i="1"/>
  <c r="Z70" i="1"/>
  <c r="AA70" i="1"/>
  <c r="AA63" i="1"/>
  <c r="AB63" i="1"/>
  <c r="Z64" i="1"/>
  <c r="AB64" i="1"/>
  <c r="Z65" i="1"/>
  <c r="AA57" i="1"/>
  <c r="AB57" i="1"/>
  <c r="Z58" i="1"/>
  <c r="AB58" i="1"/>
  <c r="Z59" i="1"/>
  <c r="AA56" i="1"/>
  <c r="AB56" i="1"/>
  <c r="AA55" i="1"/>
  <c r="AB55" i="1"/>
  <c r="AA51" i="1"/>
  <c r="AB51" i="1"/>
  <c r="AA45" i="1"/>
  <c r="AB45" i="1"/>
  <c r="Z46" i="1"/>
  <c r="AB46" i="1"/>
  <c r="Z47" i="1"/>
  <c r="AA39" i="1"/>
  <c r="AB39" i="1"/>
  <c r="AA27" i="1"/>
  <c r="AB27" i="1"/>
  <c r="Z28" i="1"/>
  <c r="AB28" i="1"/>
  <c r="Z29" i="1"/>
  <c r="AA29" i="1"/>
  <c r="AA21" i="1"/>
  <c r="AB21" i="1"/>
  <c r="Z22" i="1"/>
  <c r="AA22" i="1"/>
  <c r="AA15" i="1"/>
  <c r="AB15" i="1"/>
  <c r="Z16" i="1"/>
  <c r="AA64" i="1"/>
  <c r="AA58" i="1"/>
  <c r="AB22" i="1"/>
  <c r="Z23" i="1"/>
  <c r="AA23" i="1"/>
  <c r="AA46" i="1"/>
  <c r="AA28" i="1"/>
  <c r="AA47" i="1"/>
  <c r="AB47" i="1"/>
  <c r="AB65" i="1"/>
  <c r="Z66" i="1"/>
  <c r="AA65" i="1"/>
  <c r="AB59" i="1"/>
  <c r="Z60" i="1"/>
  <c r="AA59" i="1"/>
  <c r="AB70" i="1"/>
  <c r="Z71" i="1"/>
  <c r="Z40" i="1"/>
  <c r="Z52" i="1"/>
  <c r="Z53" i="1"/>
  <c r="AB2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55" i="1"/>
  <c r="AE56" i="1"/>
  <c r="AA66" i="1"/>
  <c r="AB66" i="1"/>
  <c r="AA60" i="1"/>
  <c r="AB60" i="1"/>
  <c r="Z61" i="1"/>
  <c r="AB23" i="1"/>
  <c r="Z24" i="1"/>
  <c r="AB24" i="1"/>
  <c r="AA53" i="1"/>
  <c r="AB53" i="1"/>
  <c r="Z54" i="1"/>
  <c r="AA71" i="1"/>
  <c r="AB71" i="1"/>
  <c r="Z72" i="1"/>
  <c r="AA52" i="1"/>
  <c r="AB52" i="1"/>
  <c r="Z48" i="1"/>
  <c r="AA40" i="1"/>
  <c r="AB40" i="1"/>
  <c r="Z41" i="1"/>
  <c r="AA41" i="1"/>
  <c r="Z31" i="1"/>
  <c r="AA31" i="1"/>
  <c r="Z30" i="1"/>
  <c r="AA16" i="1"/>
  <c r="AB16" i="1"/>
  <c r="Z17" i="1"/>
  <c r="AA17" i="1"/>
  <c r="AB41" i="1"/>
  <c r="Z42" i="1"/>
  <c r="AB42" i="1"/>
  <c r="Z43" i="1"/>
  <c r="AA61" i="1"/>
  <c r="AB61" i="1"/>
  <c r="Z62" i="1"/>
  <c r="Z67" i="1"/>
  <c r="Z68" i="1"/>
  <c r="AA24" i="1"/>
  <c r="AA48" i="1"/>
  <c r="AB48" i="1"/>
  <c r="Z49" i="1"/>
  <c r="AA49" i="1"/>
  <c r="AA54" i="1"/>
  <c r="AB54" i="1"/>
  <c r="Z25" i="1"/>
  <c r="AB72" i="1"/>
  <c r="AA72" i="1"/>
  <c r="AA30" i="1"/>
  <c r="AB30" i="1"/>
  <c r="AB31" i="1"/>
  <c r="Z32" i="1"/>
  <c r="AB17" i="1"/>
  <c r="Z18" i="1"/>
  <c r="AA18" i="1"/>
  <c r="AA42" i="1"/>
  <c r="AA68" i="1"/>
  <c r="AB68" i="1"/>
  <c r="AA67" i="1"/>
  <c r="AB67" i="1"/>
  <c r="AA62" i="1"/>
  <c r="AB62" i="1"/>
  <c r="Z73" i="1"/>
  <c r="Z74" i="1"/>
  <c r="AB49" i="1"/>
  <c r="Z50" i="1"/>
  <c r="AA50" i="1"/>
  <c r="AB43" i="1"/>
  <c r="Z44" i="1"/>
  <c r="AA43" i="1"/>
  <c r="AA25" i="1"/>
  <c r="AB25" i="1"/>
  <c r="Z26" i="1"/>
  <c r="AA26" i="1"/>
  <c r="AA32" i="1"/>
  <c r="AB32" i="1"/>
  <c r="AB18" i="1"/>
  <c r="Z19" i="1"/>
  <c r="AB19" i="1"/>
  <c r="Z20" i="1"/>
  <c r="AA9" i="1"/>
  <c r="AA74" i="1"/>
  <c r="AB74" i="1"/>
  <c r="AA73" i="1"/>
  <c r="AB73" i="1"/>
  <c r="AA44" i="1"/>
  <c r="AB44" i="1"/>
  <c r="AB50" i="1"/>
  <c r="AB26" i="1"/>
  <c r="AA19" i="1"/>
  <c r="AA20" i="1"/>
  <c r="AB20" i="1"/>
  <c r="AA10" i="1"/>
  <c r="AB10" i="1"/>
  <c r="M9" i="1"/>
  <c r="N9" i="1"/>
  <c r="P9" i="1"/>
  <c r="M129" i="1"/>
  <c r="N129" i="1"/>
  <c r="M93" i="1"/>
  <c r="N93" i="1"/>
  <c r="M99" i="1"/>
  <c r="N99" i="1"/>
  <c r="M105" i="1"/>
  <c r="N105" i="1"/>
  <c r="M75" i="1"/>
  <c r="N75" i="1"/>
  <c r="M87" i="1"/>
  <c r="N87" i="1"/>
  <c r="M117" i="1"/>
  <c r="N117" i="1"/>
  <c r="M111" i="1"/>
  <c r="N111" i="1"/>
  <c r="M81" i="1"/>
  <c r="N81" i="1"/>
  <c r="M123" i="1"/>
  <c r="N123" i="1"/>
  <c r="M45" i="1"/>
  <c r="N45" i="1"/>
  <c r="M27" i="1"/>
  <c r="N27" i="1"/>
  <c r="M21" i="1"/>
  <c r="N21" i="1"/>
  <c r="M57" i="1"/>
  <c r="N57" i="1"/>
  <c r="M51" i="1"/>
  <c r="N51" i="1"/>
  <c r="M39" i="1"/>
  <c r="N39" i="1"/>
  <c r="M69" i="1"/>
  <c r="N69" i="1"/>
  <c r="M63" i="1"/>
  <c r="N63" i="1"/>
  <c r="M15" i="1"/>
  <c r="N15" i="1"/>
  <c r="O9" i="1"/>
  <c r="O111" i="1"/>
  <c r="P111" i="1"/>
  <c r="O117" i="1"/>
  <c r="P117" i="1"/>
  <c r="O99" i="1"/>
  <c r="P99" i="1"/>
  <c r="O123" i="1"/>
  <c r="P123" i="1"/>
  <c r="O87" i="1"/>
  <c r="P87" i="1"/>
  <c r="O93" i="1"/>
  <c r="P93" i="1"/>
  <c r="P105" i="1"/>
  <c r="O105" i="1"/>
  <c r="O81" i="1"/>
  <c r="P81" i="1"/>
  <c r="O75" i="1"/>
  <c r="P75" i="1"/>
  <c r="O129" i="1"/>
  <c r="P129" i="1"/>
  <c r="Z42" i="18"/>
  <c r="N42" i="18"/>
  <c r="AF26" i="18"/>
  <c r="N26" i="18"/>
  <c r="AF18" i="18"/>
  <c r="T10" i="18"/>
  <c r="N34" i="18"/>
  <c r="T34" i="18"/>
  <c r="T18" i="18"/>
  <c r="Z18" i="18"/>
  <c r="Z10" i="18"/>
  <c r="AL18" i="18"/>
  <c r="Z26" i="18"/>
  <c r="P63" i="1"/>
  <c r="O63"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57" i="1"/>
  <c r="AJ42" i="18"/>
  <c r="AJ18" i="18"/>
  <c r="AD26" i="18"/>
  <c r="L10" i="18"/>
  <c r="AD10" i="18"/>
  <c r="X18" i="18"/>
  <c r="AD42" i="18"/>
  <c r="L18" i="18"/>
  <c r="R10" i="18"/>
  <c r="P57" i="1"/>
  <c r="O69" i="1"/>
  <c r="AD69" i="1"/>
  <c r="AB36" i="18"/>
  <c r="AH12" i="18"/>
  <c r="P28" i="18"/>
  <c r="AH20" i="18"/>
  <c r="P36" i="18"/>
  <c r="V12" i="18"/>
  <c r="AH28" i="18"/>
  <c r="AB20" i="18"/>
  <c r="J12" i="18"/>
  <c r="J20" i="18"/>
  <c r="P69" i="1"/>
  <c r="P44" i="18"/>
  <c r="AB44" i="18"/>
  <c r="V28" i="18"/>
  <c r="V36" i="18"/>
  <c r="J28" i="18"/>
  <c r="AH36" i="18"/>
  <c r="J44" i="18"/>
  <c r="P12" i="18"/>
  <c r="AB12" i="18"/>
  <c r="V44" i="18"/>
  <c r="AH44" i="18"/>
  <c r="V20" i="18"/>
  <c r="P20" i="18"/>
  <c r="J36" i="18"/>
  <c r="AB28" i="18"/>
  <c r="T38" i="18"/>
  <c r="AF22" i="18"/>
  <c r="N38" i="18"/>
  <c r="AF30" i="18"/>
  <c r="AL6" i="18"/>
  <c r="Z6" i="18"/>
  <c r="P21" i="1"/>
  <c r="T14" i="18"/>
  <c r="T22" i="18"/>
  <c r="N6" i="18"/>
  <c r="AL30" i="18"/>
  <c r="Z22" i="18"/>
  <c r="Z14" i="18"/>
  <c r="O21" i="1"/>
  <c r="Z30" i="18"/>
  <c r="AL38" i="18"/>
  <c r="AL14" i="18"/>
  <c r="AF6" i="18"/>
  <c r="AL22" i="18"/>
  <c r="T30" i="18"/>
  <c r="Z38" i="18"/>
  <c r="AF14" i="18"/>
  <c r="N30" i="18"/>
  <c r="N14" i="18"/>
  <c r="N22" i="18"/>
  <c r="AF38" i="18"/>
  <c r="T6" i="18"/>
  <c r="O39" i="1"/>
  <c r="X32" i="18"/>
  <c r="AD32" i="18"/>
  <c r="AJ8" i="18"/>
  <c r="L16" i="18"/>
  <c r="R32" i="18"/>
  <c r="AJ32" i="18"/>
  <c r="P39" i="1"/>
  <c r="R40" i="18"/>
  <c r="AJ40" i="18"/>
  <c r="AD24" i="18"/>
  <c r="AJ24" i="18"/>
  <c r="R24" i="18"/>
  <c r="AJ16" i="18"/>
  <c r="AD8" i="18"/>
  <c r="L32" i="18"/>
  <c r="L40" i="18"/>
  <c r="R16" i="18"/>
  <c r="L24" i="18"/>
  <c r="AD16" i="18"/>
  <c r="L8" i="18"/>
  <c r="R8" i="18"/>
  <c r="X40" i="18"/>
  <c r="X8" i="18"/>
  <c r="X16" i="18"/>
  <c r="AD40" i="18"/>
  <c r="X24" i="18"/>
  <c r="O27" i="1"/>
  <c r="J40" i="18"/>
  <c r="J16" i="18"/>
  <c r="P16" i="18"/>
  <c r="V8" i="18"/>
  <c r="J8" i="18"/>
  <c r="J24" i="18"/>
  <c r="AH16" i="18"/>
  <c r="AB16" i="18"/>
  <c r="AB40" i="18"/>
  <c r="P32" i="18"/>
  <c r="P40" i="18"/>
  <c r="AH24" i="18"/>
  <c r="AB32" i="18"/>
  <c r="J32" i="18"/>
  <c r="V16" i="18"/>
  <c r="V40" i="18"/>
  <c r="AH32" i="18"/>
  <c r="V24" i="18"/>
  <c r="V32" i="18"/>
  <c r="AH8" i="18"/>
  <c r="AB8" i="18"/>
  <c r="P8" i="18"/>
  <c r="P27" i="1"/>
  <c r="AH40" i="18"/>
  <c r="AB24" i="18"/>
  <c r="P24" i="18"/>
  <c r="AD38" i="18"/>
  <c r="L30" i="18"/>
  <c r="AD30" i="18"/>
  <c r="AJ6" i="18"/>
  <c r="L14" i="18"/>
  <c r="L22" i="18"/>
  <c r="X6" i="18"/>
  <c r="L6" i="18"/>
  <c r="P15" i="1"/>
  <c r="R38" i="18"/>
  <c r="AJ38" i="18"/>
  <c r="L38" i="18"/>
  <c r="AD6" i="18"/>
  <c r="R6" i="18"/>
  <c r="AJ30" i="18"/>
  <c r="R30" i="18"/>
  <c r="AD22" i="18"/>
  <c r="AJ14" i="18"/>
  <c r="AJ22" i="18"/>
  <c r="AD14" i="18"/>
  <c r="X38" i="18"/>
  <c r="X14" i="18"/>
  <c r="R22" i="18"/>
  <c r="X22" i="18"/>
  <c r="O15"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O51" i="1"/>
  <c r="AH34" i="18"/>
  <c r="AH42" i="18"/>
  <c r="AH18" i="18"/>
  <c r="AB10" i="18"/>
  <c r="J26" i="18"/>
  <c r="V18" i="18"/>
  <c r="V42" i="18"/>
  <c r="J42" i="18"/>
  <c r="P10" i="18"/>
  <c r="AB26" i="18"/>
  <c r="J34" i="18"/>
  <c r="J18" i="18"/>
  <c r="AH10" i="18"/>
  <c r="AB34" i="18"/>
  <c r="P26" i="18"/>
  <c r="P34" i="18"/>
  <c r="V34" i="18"/>
  <c r="AH26" i="18"/>
  <c r="J10" i="18"/>
  <c r="P51" i="1"/>
  <c r="P18" i="18"/>
  <c r="AB42" i="18"/>
  <c r="V10" i="18"/>
  <c r="AB18" i="18"/>
  <c r="P42" i="18"/>
  <c r="V26" i="18"/>
  <c r="Z32" i="18"/>
  <c r="N24" i="18"/>
  <c r="AL32" i="18"/>
  <c r="AL40" i="18"/>
  <c r="N8" i="18"/>
  <c r="AF24" i="18"/>
  <c r="Z40" i="18"/>
  <c r="Z16" i="18"/>
  <c r="N32" i="18"/>
  <c r="T32" i="18"/>
  <c r="N40" i="18"/>
  <c r="T8" i="18"/>
  <c r="O45" i="1"/>
  <c r="AF32" i="18"/>
  <c r="AL8" i="18"/>
  <c r="T24" i="18"/>
  <c r="N16" i="18"/>
  <c r="T16" i="18"/>
  <c r="Z24" i="18"/>
  <c r="AF16" i="18"/>
  <c r="P45" i="1"/>
  <c r="T40" i="18"/>
  <c r="AF8" i="18"/>
  <c r="AL24" i="18"/>
  <c r="Z8" i="18"/>
  <c r="AF40" i="18"/>
  <c r="AL16" i="18"/>
  <c r="AD28" i="1"/>
  <c r="AD27" i="1"/>
  <c r="AC27" i="1"/>
  <c r="AC69" i="1"/>
  <c r="AD71" i="1"/>
  <c r="AD64" i="1"/>
  <c r="AD63" i="1"/>
  <c r="AD46" i="1"/>
  <c r="AD45" i="1"/>
  <c r="AC45" i="1"/>
  <c r="AD58" i="1"/>
  <c r="AD57" i="1"/>
  <c r="AC57" i="1"/>
  <c r="AC9" i="1"/>
  <c r="AD10" i="1"/>
  <c r="AD16" i="1"/>
  <c r="AD15" i="1"/>
  <c r="AC15" i="1"/>
  <c r="AD21" i="1"/>
  <c r="AC21" i="1"/>
  <c r="AD52" i="1"/>
  <c r="AD51" i="1"/>
  <c r="AC51" i="1"/>
  <c r="AD40" i="1"/>
  <c r="AD39" i="1"/>
  <c r="AC39" i="1"/>
  <c r="AD22" i="1"/>
  <c r="AC22" i="1"/>
  <c r="J40" i="19"/>
  <c r="V30" i="19"/>
  <c r="AH20" i="19"/>
  <c r="J30" i="19"/>
  <c r="V20" i="19"/>
  <c r="AH10" i="19"/>
  <c r="P10" i="19"/>
  <c r="AB50" i="19"/>
  <c r="J50" i="19"/>
  <c r="AB40" i="19"/>
  <c r="P30" i="19"/>
  <c r="V50" i="19"/>
  <c r="P50" i="19"/>
  <c r="AB10" i="19"/>
  <c r="AH30" i="19"/>
  <c r="AH40" i="19"/>
  <c r="J10" i="19"/>
  <c r="AB20" i="19"/>
  <c r="AH50" i="19"/>
  <c r="AE39" i="1"/>
  <c r="V10" i="19"/>
  <c r="P20" i="19"/>
  <c r="J20" i="19"/>
  <c r="P40" i="19"/>
  <c r="V40" i="19"/>
  <c r="AB30" i="19"/>
  <c r="J11" i="19"/>
  <c r="V11" i="19"/>
  <c r="AB21" i="19"/>
  <c r="P31" i="19"/>
  <c r="J31" i="19"/>
  <c r="AB41" i="19"/>
  <c r="AE45" i="1"/>
  <c r="AH41" i="19"/>
  <c r="P41" i="19"/>
  <c r="J21" i="19"/>
  <c r="AB31" i="19"/>
  <c r="AB51" i="19"/>
  <c r="P21" i="19"/>
  <c r="V41" i="19"/>
  <c r="V31" i="19"/>
  <c r="AH21" i="19"/>
  <c r="AB11" i="19"/>
  <c r="P51" i="19"/>
  <c r="V21" i="19"/>
  <c r="AH31" i="19"/>
  <c r="V51" i="19"/>
  <c r="J51" i="19"/>
  <c r="AH51" i="19"/>
  <c r="AH11" i="19"/>
  <c r="J41" i="19"/>
  <c r="P11" i="19"/>
  <c r="AD23" i="1"/>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AE69" i="1"/>
  <c r="P25" i="19"/>
  <c r="V55" i="19"/>
  <c r="J15" i="19"/>
  <c r="AB15" i="19"/>
  <c r="J35" i="19"/>
  <c r="AB35" i="19"/>
  <c r="J55" i="19"/>
  <c r="AB25" i="19"/>
  <c r="P35" i="19"/>
  <c r="P55" i="19"/>
  <c r="AB45" i="19"/>
  <c r="P15" i="19"/>
  <c r="J47" i="19"/>
  <c r="V27" i="19"/>
  <c r="AH7" i="19"/>
  <c r="P47" i="19"/>
  <c r="AB27" i="19"/>
  <c r="J17" i="19"/>
  <c r="V47" i="19"/>
  <c r="J37" i="19"/>
  <c r="AE15" i="1"/>
  <c r="AB37" i="19"/>
  <c r="J27" i="19"/>
  <c r="V7" i="19"/>
  <c r="AH37" i="19"/>
  <c r="P27" i="19"/>
  <c r="AB7" i="19"/>
  <c r="P17" i="19"/>
  <c r="V17" i="19"/>
  <c r="AH47" i="19"/>
  <c r="P37" i="19"/>
  <c r="AB17" i="19"/>
  <c r="J7" i="19"/>
  <c r="V37" i="19"/>
  <c r="AH17" i="19"/>
  <c r="P7" i="19"/>
  <c r="AH27" i="19"/>
  <c r="AB47" i="19"/>
  <c r="AE57"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63" i="1"/>
  <c r="AD70" i="1"/>
  <c r="AC70" i="1"/>
  <c r="AE2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2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C10" i="1"/>
  <c r="AC71" i="1"/>
  <c r="AD72" i="1"/>
  <c r="AD41" i="1"/>
  <c r="AC40" i="1"/>
  <c r="AC46" i="1"/>
  <c r="AD47" i="1"/>
  <c r="AC47" i="1"/>
  <c r="AD48" i="1"/>
  <c r="V32" i="19"/>
  <c r="P42" i="19"/>
  <c r="J12" i="19"/>
  <c r="J32" i="19"/>
  <c r="AB52" i="19"/>
  <c r="AE51" i="1"/>
  <c r="J22" i="19"/>
  <c r="V22" i="19"/>
  <c r="J52" i="19"/>
  <c r="AH12" i="19"/>
  <c r="J42" i="19"/>
  <c r="AH42" i="19"/>
  <c r="P32" i="19"/>
  <c r="AB12" i="19"/>
  <c r="AH32" i="19"/>
  <c r="AB32" i="19"/>
  <c r="AB42" i="19"/>
  <c r="V42" i="19"/>
  <c r="V12" i="19"/>
  <c r="V52" i="19"/>
  <c r="AB22" i="19"/>
  <c r="AH52" i="19"/>
  <c r="AH22" i="19"/>
  <c r="P22" i="19"/>
  <c r="P12" i="19"/>
  <c r="P52" i="19"/>
  <c r="AD53" i="1"/>
  <c r="AC53" i="1"/>
  <c r="AD54" i="1"/>
  <c r="AC54" i="1"/>
  <c r="AC52" i="1"/>
  <c r="AD17" i="1"/>
  <c r="AC16" i="1"/>
  <c r="AC58" i="1"/>
  <c r="AD59" i="1"/>
  <c r="AC64" i="1"/>
  <c r="AD65" i="1"/>
  <c r="AC28" i="1"/>
  <c r="AD29" i="1"/>
  <c r="W37" i="19"/>
  <c r="AI7" i="19"/>
  <c r="W17" i="19"/>
  <c r="W27" i="19"/>
  <c r="Q47" i="19"/>
  <c r="W7" i="19"/>
  <c r="AI17" i="19"/>
  <c r="K47" i="19"/>
  <c r="AI47" i="19"/>
  <c r="Q27" i="19"/>
  <c r="AC27" i="19"/>
  <c r="AC47" i="19"/>
  <c r="AC37" i="19"/>
  <c r="AI37" i="19"/>
  <c r="AE16" i="1"/>
  <c r="AC17" i="19"/>
  <c r="K37" i="19"/>
  <c r="AC7" i="19"/>
  <c r="W47" i="19"/>
  <c r="Q37" i="19"/>
  <c r="AI27" i="19"/>
  <c r="Q7" i="19"/>
  <c r="K27" i="19"/>
  <c r="K17" i="19"/>
  <c r="K7" i="19"/>
  <c r="Q17" i="19"/>
  <c r="AC72" i="1"/>
  <c r="AD73" i="1"/>
  <c r="K35" i="19"/>
  <c r="AC25" i="19"/>
  <c r="K45" i="19"/>
  <c r="AI45" i="19"/>
  <c r="W45" i="19"/>
  <c r="Q35" i="19"/>
  <c r="K55" i="19"/>
  <c r="AC15" i="19"/>
  <c r="Q15" i="19"/>
  <c r="AC35" i="19"/>
  <c r="AI35" i="19"/>
  <c r="Q55" i="19"/>
  <c r="AI25" i="19"/>
  <c r="AE7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6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46" i="1"/>
  <c r="AD55" i="19"/>
  <c r="R15" i="19"/>
  <c r="AJ35" i="19"/>
  <c r="AE7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6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53" i="1"/>
  <c r="AD12" i="19"/>
  <c r="AD32" i="19"/>
  <c r="AD22" i="19"/>
  <c r="X52" i="19"/>
  <c r="AD52" i="19"/>
  <c r="L42" i="19"/>
  <c r="R42" i="19"/>
  <c r="AJ21" i="19"/>
  <c r="AD31" i="19"/>
  <c r="R21" i="19"/>
  <c r="AD41" i="19"/>
  <c r="AJ11" i="19"/>
  <c r="AJ51" i="19"/>
  <c r="AE47" i="1"/>
  <c r="L41" i="19"/>
  <c r="AD11" i="19"/>
  <c r="L21" i="19"/>
  <c r="L11" i="19"/>
  <c r="X51" i="19"/>
  <c r="X21" i="19"/>
  <c r="R11" i="19"/>
  <c r="R31" i="19"/>
  <c r="AJ41" i="19"/>
  <c r="L31" i="19"/>
  <c r="R51" i="19"/>
  <c r="X31" i="19"/>
  <c r="X11" i="19"/>
  <c r="X41" i="19"/>
  <c r="AJ31" i="19"/>
  <c r="AD51" i="19"/>
  <c r="R41" i="19"/>
  <c r="AD21" i="19"/>
  <c r="L51" i="19"/>
  <c r="AD18" i="1"/>
  <c r="AC17" i="1"/>
  <c r="AC29" i="1"/>
  <c r="AD30" i="1"/>
  <c r="AC59" i="1"/>
  <c r="AD60" i="1"/>
  <c r="K42" i="19"/>
  <c r="AC32" i="19"/>
  <c r="W42" i="19"/>
  <c r="AI52" i="19"/>
  <c r="K22" i="19"/>
  <c r="Q32" i="19"/>
  <c r="AI12" i="19"/>
  <c r="AC52" i="19"/>
  <c r="Q42" i="19"/>
  <c r="AC42" i="19"/>
  <c r="K12" i="19"/>
  <c r="Q22" i="19"/>
  <c r="W52" i="19"/>
  <c r="AI42" i="19"/>
  <c r="W32" i="19"/>
  <c r="AI22" i="19"/>
  <c r="W12" i="19"/>
  <c r="AI32" i="19"/>
  <c r="AC12" i="19"/>
  <c r="Q12" i="19"/>
  <c r="Q52" i="19"/>
  <c r="AE52" i="1"/>
  <c r="K32" i="19"/>
  <c r="W22" i="19"/>
  <c r="K52" i="19"/>
  <c r="AC22" i="19"/>
  <c r="AC40" i="19"/>
  <c r="W10" i="19"/>
  <c r="AC50" i="19"/>
  <c r="Q10" i="19"/>
  <c r="Q30" i="19"/>
  <c r="W50" i="19"/>
  <c r="K40" i="19"/>
  <c r="Q50" i="19"/>
  <c r="W20" i="19"/>
  <c r="AE40" i="1"/>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4" i="1"/>
  <c r="AC23" i="1"/>
  <c r="AC65" i="1"/>
  <c r="AD66" i="1"/>
  <c r="K39" i="19"/>
  <c r="AC39" i="19"/>
  <c r="W29" i="19"/>
  <c r="AI49" i="19"/>
  <c r="W9" i="19"/>
  <c r="AC19" i="19"/>
  <c r="Q49" i="19"/>
  <c r="W49" i="19"/>
  <c r="AC9" i="19"/>
  <c r="AI9" i="19"/>
  <c r="Q29" i="19"/>
  <c r="W39" i="19"/>
  <c r="Q39" i="19"/>
  <c r="AE2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8" i="1"/>
  <c r="Q33" i="19"/>
  <c r="AI23" i="19"/>
  <c r="K53" i="19"/>
  <c r="AC23" i="19"/>
  <c r="AC13" i="19"/>
  <c r="W23" i="19"/>
  <c r="W33" i="19"/>
  <c r="Q13" i="19"/>
  <c r="W13" i="19"/>
  <c r="AI13" i="19"/>
  <c r="Q43" i="19"/>
  <c r="Q23" i="19"/>
  <c r="W53" i="19"/>
  <c r="M12" i="19"/>
  <c r="AK42" i="19"/>
  <c r="AE32" i="19"/>
  <c r="AE54" i="1"/>
  <c r="M52" i="19"/>
  <c r="S12" i="19"/>
  <c r="M32" i="19"/>
  <c r="S52" i="19"/>
  <c r="Y52" i="19"/>
  <c r="Y42" i="19"/>
  <c r="AK12" i="19"/>
  <c r="S22" i="19"/>
  <c r="AE12" i="19"/>
  <c r="Y22" i="19"/>
  <c r="S32" i="19"/>
  <c r="AK52" i="19"/>
  <c r="M22" i="19"/>
  <c r="AK32" i="19"/>
  <c r="AE22" i="19"/>
  <c r="AE42" i="19"/>
  <c r="Y32" i="19"/>
  <c r="M42" i="19"/>
  <c r="Y12" i="19"/>
  <c r="AE52" i="19"/>
  <c r="AK22" i="19"/>
  <c r="S42" i="19"/>
  <c r="AC48" i="1"/>
  <c r="AD50" i="1"/>
  <c r="AC50" i="1"/>
  <c r="AD49" i="1"/>
  <c r="AC49" i="1"/>
  <c r="AC41" i="1"/>
  <c r="AD42"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E22" i="1"/>
  <c r="R40" i="19"/>
  <c r="AD10" i="19"/>
  <c r="X40" i="19"/>
  <c r="AJ10" i="19"/>
  <c r="R50" i="19"/>
  <c r="X10" i="19"/>
  <c r="R30" i="19"/>
  <c r="AE41" i="1"/>
  <c r="L10" i="19"/>
  <c r="L50" i="19"/>
  <c r="AJ20" i="19"/>
  <c r="AJ40" i="19"/>
  <c r="AD30" i="19"/>
  <c r="R20" i="19"/>
  <c r="AD50" i="19"/>
  <c r="AJ30" i="19"/>
  <c r="AJ50" i="19"/>
  <c r="X30" i="19"/>
  <c r="AD20" i="19"/>
  <c r="L40" i="19"/>
  <c r="X50" i="19"/>
  <c r="X20" i="19"/>
  <c r="AD40" i="19"/>
  <c r="R10" i="19"/>
  <c r="L30" i="19"/>
  <c r="L20" i="19"/>
  <c r="AC60" i="1"/>
  <c r="AD61" i="1"/>
  <c r="AC73" i="1"/>
  <c r="AD74" i="1"/>
  <c r="AC74" i="1"/>
  <c r="AD47" i="19"/>
  <c r="AJ27" i="19"/>
  <c r="AD27" i="19"/>
  <c r="AJ7" i="19"/>
  <c r="AJ37" i="19"/>
  <c r="L27" i="19"/>
  <c r="AD17" i="19"/>
  <c r="L37" i="19"/>
  <c r="R17" i="19"/>
  <c r="AJ17" i="19"/>
  <c r="X7" i="19"/>
  <c r="X47" i="19"/>
  <c r="L7" i="19"/>
  <c r="L17" i="19"/>
  <c r="R27" i="19"/>
  <c r="X27" i="19"/>
  <c r="R7" i="19"/>
  <c r="X17" i="19"/>
  <c r="AJ47" i="19"/>
  <c r="L47" i="19"/>
  <c r="R37" i="19"/>
  <c r="AD7" i="19"/>
  <c r="X37" i="19"/>
  <c r="AE17" i="1"/>
  <c r="R47" i="19"/>
  <c r="AD37" i="19"/>
  <c r="AD25" i="1"/>
  <c r="AC25" i="1"/>
  <c r="AC24" i="1"/>
  <c r="AD26" i="1"/>
  <c r="AC26" i="1"/>
  <c r="AJ43" i="19"/>
  <c r="AD33" i="19"/>
  <c r="X33" i="19"/>
  <c r="X13" i="19"/>
  <c r="AD43" i="19"/>
  <c r="L43" i="19"/>
  <c r="AE59" i="1"/>
  <c r="X23" i="19"/>
  <c r="R33" i="19"/>
  <c r="R43" i="19"/>
  <c r="AD53" i="19"/>
  <c r="AJ13" i="19"/>
  <c r="R23" i="19"/>
  <c r="R13" i="19"/>
  <c r="AJ53" i="19"/>
  <c r="L33" i="19"/>
  <c r="L23" i="19"/>
  <c r="X43" i="19"/>
  <c r="X53" i="19"/>
  <c r="AD13" i="19"/>
  <c r="L53" i="19"/>
  <c r="L13" i="19"/>
  <c r="AD23" i="19"/>
  <c r="AJ33" i="19"/>
  <c r="AJ23" i="19"/>
  <c r="R53" i="19"/>
  <c r="AC18" i="1"/>
  <c r="AD19" i="1"/>
  <c r="M55" i="19"/>
  <c r="AK15" i="19"/>
  <c r="AE25" i="19"/>
  <c r="AE7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9"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E50" i="1"/>
  <c r="AG11" i="19"/>
  <c r="AM41" i="19"/>
  <c r="AA21" i="19"/>
  <c r="AA51" i="19"/>
  <c r="U51" i="19"/>
  <c r="U31" i="19"/>
  <c r="AA11" i="19"/>
  <c r="AG21" i="19"/>
  <c r="O31" i="19"/>
  <c r="AC66" i="1"/>
  <c r="AD67" i="1"/>
  <c r="AC30" i="1"/>
  <c r="AD31" i="1"/>
  <c r="AC31" i="1"/>
  <c r="AD32" i="1"/>
  <c r="AC3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C42" i="1"/>
  <c r="AD43" i="1"/>
  <c r="AE11" i="19"/>
  <c r="Y41" i="19"/>
  <c r="M41" i="19"/>
  <c r="Y21" i="19"/>
  <c r="AK41" i="19"/>
  <c r="S31" i="19"/>
  <c r="M31" i="19"/>
  <c r="M51" i="19"/>
  <c r="Y51" i="19"/>
  <c r="AK21" i="19"/>
  <c r="AK31" i="19"/>
  <c r="Y11" i="19"/>
  <c r="AE41" i="19"/>
  <c r="AE21" i="19"/>
  <c r="S51" i="19"/>
  <c r="AE51" i="19"/>
  <c r="AK51" i="19"/>
  <c r="M21" i="19"/>
  <c r="AE31" i="19"/>
  <c r="AE48" i="1"/>
  <c r="S41" i="19"/>
  <c r="AK11" i="19"/>
  <c r="S11" i="19"/>
  <c r="Y31" i="19"/>
  <c r="S21" i="19"/>
  <c r="M11" i="19"/>
  <c r="L54" i="19"/>
  <c r="AJ14" i="19"/>
  <c r="AD44" i="19"/>
  <c r="X54" i="19"/>
  <c r="R14" i="19"/>
  <c r="AD24" i="19"/>
  <c r="AD34" i="19"/>
  <c r="R54" i="19"/>
  <c r="L34" i="19"/>
  <c r="AJ34" i="19"/>
  <c r="X24" i="19"/>
  <c r="AJ24" i="19"/>
  <c r="X44" i="19"/>
  <c r="R24" i="19"/>
  <c r="AE65" i="1"/>
  <c r="X34" i="19"/>
  <c r="L14" i="19"/>
  <c r="AD14" i="19"/>
  <c r="L44" i="19"/>
  <c r="R44" i="19"/>
  <c r="AD54" i="19"/>
  <c r="X14" i="19"/>
  <c r="AJ44" i="19"/>
  <c r="R34" i="19"/>
  <c r="AJ54" i="19"/>
  <c r="L24" i="19"/>
  <c r="AD29" i="19"/>
  <c r="AD19" i="19"/>
  <c r="R39" i="19"/>
  <c r="R9" i="19"/>
  <c r="X49" i="19"/>
  <c r="X9" i="19"/>
  <c r="AD39" i="19"/>
  <c r="R29" i="19"/>
  <c r="L49" i="19"/>
  <c r="X19" i="19"/>
  <c r="X29" i="19"/>
  <c r="X39" i="19"/>
  <c r="L9" i="19"/>
  <c r="AE29" i="1"/>
  <c r="AD9" i="19"/>
  <c r="AJ49" i="19"/>
  <c r="L39" i="19"/>
  <c r="R19" i="19"/>
  <c r="AJ39" i="19"/>
  <c r="AJ29" i="19"/>
  <c r="AJ19" i="19"/>
  <c r="AJ9" i="19"/>
  <c r="AD49" i="19"/>
  <c r="L19" i="19"/>
  <c r="L29" i="19"/>
  <c r="R49" i="19"/>
  <c r="AC43" i="1"/>
  <c r="AD44" i="1"/>
  <c r="AC44" i="1"/>
  <c r="AG39" i="19"/>
  <c r="AG29" i="19"/>
  <c r="AM19" i="19"/>
  <c r="O39" i="19"/>
  <c r="AE3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66" i="1"/>
  <c r="AE24" i="19"/>
  <c r="S14" i="19"/>
  <c r="AK17" i="19"/>
  <c r="S27" i="19"/>
  <c r="S37" i="19"/>
  <c r="AE27" i="19"/>
  <c r="Y47" i="19"/>
  <c r="S7" i="19"/>
  <c r="M17" i="19"/>
  <c r="AE17" i="19"/>
  <c r="AK27" i="19"/>
  <c r="Y7" i="19"/>
  <c r="Y37" i="19"/>
  <c r="AE37" i="19"/>
  <c r="Y27" i="19"/>
  <c r="M47" i="19"/>
  <c r="AE18"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4" i="1"/>
  <c r="AE28" i="19"/>
  <c r="AA55" i="19"/>
  <c r="O45" i="19"/>
  <c r="AA15" i="19"/>
  <c r="AM55" i="19"/>
  <c r="O55" i="19"/>
  <c r="AG35" i="19"/>
  <c r="AM25" i="19"/>
  <c r="AM35" i="19"/>
  <c r="AA25" i="19"/>
  <c r="AM45" i="19"/>
  <c r="AG25" i="19"/>
  <c r="AA35" i="19"/>
  <c r="O25" i="19"/>
  <c r="U25" i="19"/>
  <c r="AG45" i="19"/>
  <c r="U35" i="19"/>
  <c r="AA45" i="19"/>
  <c r="AM15" i="19"/>
  <c r="U45" i="19"/>
  <c r="O35" i="19"/>
  <c r="O15" i="19"/>
  <c r="AE74" i="1"/>
  <c r="AG15" i="19"/>
  <c r="U15" i="19"/>
  <c r="AG55" i="19"/>
  <c r="U55" i="19"/>
  <c r="AE40" i="19"/>
  <c r="Y30" i="19"/>
  <c r="M20" i="19"/>
  <c r="AE4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31" i="1"/>
  <c r="T19" i="19"/>
  <c r="AL49" i="19"/>
  <c r="T29" i="19"/>
  <c r="AF29" i="19"/>
  <c r="T18" i="19"/>
  <c r="N48" i="19"/>
  <c r="N8" i="19"/>
  <c r="T28" i="19"/>
  <c r="AF38" i="19"/>
  <c r="Z28" i="19"/>
  <c r="Z18" i="19"/>
  <c r="AF8" i="19"/>
  <c r="AE2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7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30" i="1"/>
  <c r="M9" i="19"/>
  <c r="Y29" i="19"/>
  <c r="AC61" i="1"/>
  <c r="AD62" i="1"/>
  <c r="AC62"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C67" i="1"/>
  <c r="AD68" i="1"/>
  <c r="AC68" i="1"/>
  <c r="AD20" i="1"/>
  <c r="AC20" i="1"/>
  <c r="AC19" i="1"/>
  <c r="O8" i="19"/>
  <c r="AA48" i="19"/>
  <c r="AM38" i="19"/>
  <c r="U48" i="19"/>
  <c r="AA18" i="19"/>
  <c r="AG18" i="19"/>
  <c r="AG48" i="19"/>
  <c r="AM18" i="19"/>
  <c r="AA28" i="19"/>
  <c r="AG28" i="19"/>
  <c r="AA8" i="19"/>
  <c r="U18" i="19"/>
  <c r="AG38" i="19"/>
  <c r="U38" i="19"/>
  <c r="AM8" i="19"/>
  <c r="AA38" i="19"/>
  <c r="AM48" i="19"/>
  <c r="U28" i="19"/>
  <c r="O38" i="19"/>
  <c r="U8" i="19"/>
  <c r="AG8" i="19"/>
  <c r="AE2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6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8" i="1"/>
  <c r="AA14" i="19"/>
  <c r="O54" i="19"/>
  <c r="U44" i="19"/>
  <c r="U43" i="19"/>
  <c r="U13" i="19"/>
  <c r="AM53" i="19"/>
  <c r="AA53" i="19"/>
  <c r="AA43" i="19"/>
  <c r="O53" i="19"/>
  <c r="O23" i="19"/>
  <c r="O13" i="19"/>
  <c r="AG43" i="19"/>
  <c r="U33" i="19"/>
  <c r="U23" i="19"/>
  <c r="AM13" i="19"/>
  <c r="AM23" i="19"/>
  <c r="AG13" i="19"/>
  <c r="AA23" i="19"/>
  <c r="AG33" i="19"/>
  <c r="AA33" i="19"/>
  <c r="AM33" i="19"/>
  <c r="AA13" i="19"/>
  <c r="AE6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67" i="1"/>
  <c r="AF53" i="19"/>
  <c r="T43" i="19"/>
  <c r="Z53" i="19"/>
  <c r="N43" i="19"/>
  <c r="T23" i="19"/>
  <c r="AF43" i="19"/>
  <c r="Z13" i="19"/>
  <c r="Z43" i="19"/>
  <c r="AF23" i="19"/>
  <c r="AL13" i="19"/>
  <c r="Z23" i="19"/>
  <c r="AL43" i="19"/>
  <c r="AF13" i="19"/>
  <c r="AL23" i="19"/>
  <c r="N13" i="19"/>
  <c r="T33" i="19"/>
  <c r="AL53" i="19"/>
  <c r="N23" i="19"/>
  <c r="N53" i="19"/>
  <c r="AF33" i="19"/>
  <c r="N33" i="19"/>
  <c r="AE61" i="1"/>
  <c r="T53" i="19"/>
  <c r="AL33" i="19"/>
  <c r="T13" i="19"/>
  <c r="Z33" i="19"/>
  <c r="Z47" i="19"/>
  <c r="T7" i="19"/>
  <c r="AL37" i="19"/>
  <c r="T17" i="19"/>
  <c r="Z17" i="19"/>
  <c r="AF7" i="19"/>
  <c r="AF37" i="19"/>
  <c r="N17" i="19"/>
  <c r="AF27" i="19"/>
  <c r="AE19"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4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20" i="1"/>
  <c r="AA17" i="19"/>
  <c r="O7" i="19"/>
  <c r="AA37" i="19"/>
  <c r="AA27" i="19"/>
  <c r="AM27" i="19"/>
  <c r="U17" i="19"/>
  <c r="U47" i="19"/>
  <c r="AG17" i="19"/>
  <c r="O47" i="19"/>
  <c r="Z40" i="19"/>
  <c r="AE4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<sst xmlns="http://schemas.openxmlformats.org/spreadsheetml/2006/main" count="428" uniqueCount="258">
  <si>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</si>
  <si>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</si>
  <si>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</si>
  <si>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</si>
  <si>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</si>
  <si>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</si>
  <si>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</si>
  <si>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</si>
  <si>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</si>
  <si>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</si>
  <si>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</si>
  <si>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</si>
  <si>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</si>
  <si>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</si>
  <si>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</si>
  <si>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</si>
  <si>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</si>
  <si>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</si>
  <si>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</si>
  <si>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</si>
  <si>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</si>
  <si>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</si>
  <si>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</si>
  <si>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</si>
  <si>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</si>
  <si>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</si>
  <si>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</si>
  <si>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</si>
  <si>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</si>
  <si>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</si>
  <si>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</si>
  <si>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</si>
  <si>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</si>
  <si>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</si>
  <si>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</si>
  <si>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</si>
  <si>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</si>
  <si>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</si>
  <si>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</si>
  <si>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</si>
  <si>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</si>
  <si>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</si>
  <si>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</si>
  <si>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</si>
  <si>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</si>
  <si>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</si>
  <si>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</si>
  <si>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</si>
  <si>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</si>
  <si>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</si>
  <si>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</si>
  <si>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</si>
  <si>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</si>
  <si>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</si>
  <si>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</si>
  <si>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</si>
  <si>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</si>
  <si>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</si>
  <si>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</si>
  <si>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</si>
  <si>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</si>
  <si>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</si>
  <si>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</si>
  <si>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</si>
  <si>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</si>
  <si>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</si>
  <si>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</si>
  <si>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</si>
  <si>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</si>
  <si>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</si>
  <si>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</si>
  <si>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</si>
  <si>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</si>
  <si>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</si>
  <si>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</si>
  <si>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</si>
  <si>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</si>
  <si>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</si>
  <si>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</si>
  <si>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</si>
  <si>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</si>
  <si>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</si>
  <si>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</si>
  <si>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</si>
  <si>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</si>
  <si>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</si>
  <si>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</si>
  <si>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</si>
  <si>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</si>
  <si>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</si>
  <si>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</si>
  <si>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</si>
  <si>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</si>
  <si>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</si>
  <si>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</si>
  <si>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</si>
  <si>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</si>
  <si>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</si>
  <si>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</si>
  <si>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</si>
  <si>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</si>
  <si>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</si>
  <si>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</si>
  <si>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</si>
  <si>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</si>
  <si>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</si>
  <si>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</si>
  <si>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</si>
  <si>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</si>
  <si>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</si>
  <si>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</si>
  <si>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</si>
  <si>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</si>
  <si>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</si>
  <si>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</si>
  <si>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</si>
  <si>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</si>
  <si>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</si>
  <si>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</si>
  <si>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</si>
  <si>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</si>
  <si>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</si>
  <si>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</si>
  <si>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</si>
  <si>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</si>
  <si>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</si>
  <si>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</si>
  <si>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</si>
  <si>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</si>
  <si>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</si>
  <si>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</si>
  <si>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</si>
  <si>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</si>
  <si>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</si>
  <si>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</si>
  <si>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</si>
  <si>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</si>
  <si>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</si>
  <si>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</si>
  <si>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</si>
  <si>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</si>
  <si>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</si>
  <si>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</si>
  <si>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</si>
  <si>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</si>
  <si>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</si>
  <si>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</si>
  <si>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</si>
  <si>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</si>
  <si>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</si>
  <si>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</si>
  <si>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</si>
  <si>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</si>
  <si>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</si>
  <si>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</si>
  <si>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</si>
  <si>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</si>
  <si>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</si>
  <si>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</si>
  <si>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</si>
  <si>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</si>
  <si>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</si>
  <si>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</si>
  <si>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</si>
  <si>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</si>
  <si>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</si>
  <si>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</si>
  <si>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</si>
  <si>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</si>
  <si>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</si>
  <si>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</si>
  <si>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</si>
  <si>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</si>
  <si>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</si>
  <si>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</si>
  <si>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</si>
  <si>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</si>
  <si>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</si>
  <si>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</si>
  <si>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</si>
  <si>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</si>
  <si>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</si>
  <si>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</si>
  <si>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</si>
  <si>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</si>
  <si>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</si>
  <si>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</si>
  <si>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</si>
  <si>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</si>
  <si>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</si>
  <si>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</si>
  <si>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</si>
  <si>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</si>
  <si>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</si>
  <si>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</si>
  <si>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</si>
  <si>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</si>
  <si>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</si>
  <si>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</si>
  <si>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</si>
  <si>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</si>
  <si>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</si>
  <si>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</si>
  <si>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</si>
  <si>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</si>
  <si>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</si>
  <si>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</si>
  <si>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</si>
  <si>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</si>
  <si>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</si>
  <si>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</si>
  <si>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Corrupción</t>
  </si>
  <si>
    <t xml:space="preserve">Positivo (Oportunidad) </t>
  </si>
  <si>
    <t>30/1272021</t>
  </si>
  <si>
    <t>Tecnico administrativo (gestion documental)</t>
  </si>
  <si>
    <t>Seguimiento al Plan Institucional de archivos PINAR  acciones planeadas</t>
  </si>
  <si>
    <t>Posibilidad de entrega, Filtración, pérdida y/o
extravío de información para Beneficio
propio y/o de terceros</t>
  </si>
  <si>
    <t>No llevar el control de la entrada y salida en el formato de prestamo
Ingreso a personal autorizado
Mala localizacion de la documentación dentro de los expedientes.</t>
  </si>
  <si>
    <t>Restringir el acceso a personal no autorizado para la entrada al achivo central (envio de solicitud a los funcionarios y externos)</t>
  </si>
  <si>
    <t>Jefe administrativa y financiera 
Tecnico administrativo</t>
  </si>
  <si>
    <t>Realizar Socializacion y
Capacitaciones a los
Funcionarios y/o contratistas  en la aplicación de los procesos archivisticos.</t>
  </si>
  <si>
    <t>Cumplimiento</t>
  </si>
  <si>
    <t>Parametrizar la matriz de radicacion y seguimiento de las PQRS</t>
  </si>
  <si>
    <t>Realizar la capacitación sobre ley 1755 de 2015 sobre los terminos legales y la clasificacion de las diferentes peticiones.</t>
  </si>
  <si>
    <t>Jefe oficina Juridica</t>
  </si>
  <si>
    <t>Secretaria Ejecutiva</t>
  </si>
  <si>
    <t xml:space="preserve">Implementacion del sistema de radicacion, tramite y seguimiento a las peticiones, quejas y reclamos por la pagina web del instituto </t>
  </si>
  <si>
    <t>Posibilidad de daños de los equipos y exista respaldo de la información</t>
  </si>
  <si>
    <t>Tecnológicos</t>
  </si>
  <si>
    <t>Mantenimiento preventivo  de los equipos</t>
  </si>
  <si>
    <t xml:space="preserve">Digitalización de las carpetas y archivos </t>
  </si>
  <si>
    <t>Contratistas sistemas</t>
  </si>
  <si>
    <t xml:space="preserve">Realizar la digitalizacion de los archivos de Gestión y del archivo central pendientes </t>
  </si>
  <si>
    <t xml:space="preserve">Realizar backups de la información digitalizada </t>
  </si>
  <si>
    <t>Realizar mantenimiento correctivo y preventivo de  los equipos de computo del Archivo Central</t>
  </si>
  <si>
    <t>Objetivo:Asesorar, desarrollar, controlar y coordinar los procesos de  verificación, seguimiento y evaluación del Sistema de Control Interno, MIPG, para garantizar la oportunidad, eficiencia, eficacia, economía y transparencia de las actividades de la Entidad</t>
  </si>
  <si>
    <r>
      <t xml:space="preserve">Alcance: </t>
    </r>
    <r>
      <rPr>
        <sz val="10"/>
        <rFont val="Arial Narrow"/>
        <family val="2"/>
      </rPr>
      <t>El proceso inicia comprende la elaboracion del Plan Anual de auditorias internas, desarrollo de los roles de la oficina de control interno (liderazgo estràtegico, enfoque hacia la prevenciòn, relaciòn con òrganos externo de control, evaluaciòn de la gestiòn del riesgo y evaluaciòn y seguimiento), y termina con la implementación de acciones de mejora continua de los procesos.</t>
    </r>
  </si>
  <si>
    <t>Proceso: Gestion Evaluacion, Seguimiento y control</t>
  </si>
  <si>
    <t>Personal: deficiente personal de apoyo y disposición de los funcionarios para la entrega oportuna de la información.
Procesos: Desconocimiento de los procesos y procedimientos por parte de los servidores, desactualización de documentos, falta interacción.
Tecnología: sistemas de gestión ineficientes, falta de optimización de sistemas de gestión, falta de coordinación de necesidades de tecnología.
EXTERNO
Políticos: Cambio de gobierno con nuevos planes y proyectos de Desarrollo, Falta de continuidad en los programas establecidos, Desconocimiento de la Entidad por parte de otros órganos de gobierno.
Tecnológicos: Fallas en la infraestructura tecnológica, falta de recursos para el fortalecimiento tecnológico.
omunicación Externa: falta de coordinación de canales y medios.
Legal: Cambios legales y normativos aplicables a la Entidad y a los procesos.
PROCESOS
-Interacciones con otros procesos: Relación precisa con otros procesos en cuanto a insumos, proveedores, productos, usuarios o clientes.
Transversalidad: Procesos que determinan lineamientos necesarios para el desarrollo de todos los procesos de la entidad.
Responsables del proceso: Grado de autoridad y responsabilidad de los funcionarios frente al proceso.
Comunicación entre los procesos: Efectividad en los flujos de información determinados en la interacción de los procesos.</t>
  </si>
  <si>
    <t>Posibilidad de afectación reputacional por sanciones administrativas por entes gubernamentales debido a la presentación de informes de Ley,como producto de seguimientos fuera la normatividad vigente.</t>
  </si>
  <si>
    <t>presentación de informes de Ley,como producto de seguimientos fuera la normatividad vigente.
Desconcimiento de las fechas de presentación
Deficiente personal
Deficiente comunicación y trazabilidad entre los procesos
Entrega de información inoportuna y de baja calidad</t>
  </si>
  <si>
    <t>Posibilidad  de la presentación extemporanea  de informes de Ley,como producto de seguimientos fuera la normatividad vigente.</t>
  </si>
  <si>
    <t>Plan Anual de auditoria internas</t>
  </si>
  <si>
    <t>Seguimiento al cronogrma de informes</t>
  </si>
  <si>
    <t>jefe de oficina de control interno</t>
  </si>
  <si>
    <t xml:space="preserve">Establecer de cronograma de informes de la oficina de control </t>
  </si>
  <si>
    <t xml:space="preserve">Seguimiento al cumplimiento del cronograma de presentación de informes </t>
  </si>
  <si>
    <t xml:space="preserve">Posibilidad de omitir la identificación de
errores y de calidad en la información
suministrada o fraudes existentes en
las auditorias realizadas por no disponer
de información verídica y real del
proceso a auditar, por posible
desconocimiento del mismo por parte
del servidor público y/o informacion
incompleta, insuficiente, inoportuna e
inadecuada suministrada al equipo
auditorr </t>
  </si>
  <si>
    <t>Conflicto de intres
recibo de dadivas por omision
1.Desconocimiento del proceso a
auditar por parte del servidor público.
2.Informacion incompleta, insuficiente,
inoportuna, inadecuada</t>
  </si>
  <si>
    <t>Posibilidad de omitir o modificar información sobre irregularidades detectadas en auditorías internas de
gestión en busca de beneficio personal o
de terceros</t>
  </si>
  <si>
    <t>Inobservancia de
los principios eticos
 del auditor</t>
  </si>
  <si>
    <t xml:space="preserve">
No realizacion de backups de la información en disco duro
Deficiente mantenimiento del equipo de computo 
</t>
  </si>
  <si>
    <t>Fraude</t>
  </si>
  <si>
    <t>Posibilidad de omitir la identificación de
errores y de calidad en la información
suministrada o fraudes existentes en
las auditorias realizadas por no disponer
de información verídica y real del
proceso a auditar</t>
  </si>
  <si>
    <t xml:space="preserve">Divulgar y sensibilizar los principios eticos
del auditor y el codigo de integridad
</t>
  </si>
  <si>
    <t>Revisar los informes de cada auditoría
de gestión con el equipo auditor</t>
  </si>
  <si>
    <t xml:space="preserve">Monitorear el recibo, reparto y archivo de la
correspondencia de la OCI Externa / Interna </t>
  </si>
  <si>
    <t>Revisar todos los documentos que salen de
la OCI esten firmados y revisados por la jefe
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</si>
</sst>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b/>
      <sz val="22"/>
      <name val="Arial Narrow"/>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87">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lignment horizontal="left" vertical="center" wrapText="1"/>
    </xf>
    <xf numFmtId="9" fontId="1" fillId="0" borderId="61"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left" vertical="top" wrapText="1"/>
    </xf>
    <xf numFmtId="0" fontId="1" fillId="0" borderId="64" xfId="0" applyFont="1" applyBorder="1" applyAlignment="1" applyProtection="1">
      <alignment horizontal="left" vertical="top" wrapText="1"/>
    </xf>
    <xf numFmtId="0" fontId="1" fillId="0" borderId="63" xfId="0" applyFont="1" applyBorder="1" applyAlignment="1" applyProtection="1">
      <alignment horizontal="left" vertical="top"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506">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19" zoomScale="98" zoomScaleNormal="98" workbookViewId="0">
      <selection activeCell="C23" sqref="C23:D23"/>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6" t="s">
        <v>159</v>
      </c>
      <c r="C2" s="167"/>
      <c r="D2" s="167"/>
      <c r="E2" s="167"/>
      <c r="F2" s="167"/>
      <c r="G2" s="167"/>
      <c r="H2" s="168"/>
    </row>
    <row r="3" spans="2:8" x14ac:dyDescent="0.25">
      <c r="B3" s="71"/>
      <c r="C3" s="72"/>
      <c r="D3" s="72"/>
      <c r="E3" s="72"/>
      <c r="F3" s="72"/>
      <c r="G3" s="72"/>
      <c r="H3" s="73"/>
    </row>
    <row r="4" spans="2:8" ht="63" customHeight="1" x14ac:dyDescent="0.25">
      <c r="B4" s="169" t="s">
        <v>186</v>
      </c>
      <c r="C4" s="170"/>
      <c r="D4" s="170"/>
      <c r="E4" s="170"/>
      <c r="F4" s="170"/>
      <c r="G4" s="170"/>
      <c r="H4" s="171"/>
    </row>
    <row r="5" spans="2:8" ht="63" customHeight="1" x14ac:dyDescent="0.25">
      <c r="B5" s="172"/>
      <c r="C5" s="173"/>
      <c r="D5" s="173"/>
      <c r="E5" s="173"/>
      <c r="F5" s="173"/>
      <c r="G5" s="173"/>
      <c r="H5" s="174"/>
    </row>
    <row r="6" spans="2:8" ht="16.5" x14ac:dyDescent="0.25">
      <c r="B6" s="175" t="s">
        <v>157</v>
      </c>
      <c r="C6" s="176"/>
      <c r="D6" s="176"/>
      <c r="E6" s="176"/>
      <c r="F6" s="176"/>
      <c r="G6" s="176"/>
      <c r="H6" s="177"/>
    </row>
    <row r="7" spans="2:8" ht="95.25" customHeight="1" x14ac:dyDescent="0.25">
      <c r="B7" s="185" t="s">
        <v>187</v>
      </c>
      <c r="C7" s="186"/>
      <c r="D7" s="186"/>
      <c r="E7" s="186"/>
      <c r="F7" s="186"/>
      <c r="G7" s="186"/>
      <c r="H7" s="187"/>
    </row>
    <row r="8" spans="2:8" ht="16.5" x14ac:dyDescent="0.25">
      <c r="B8" s="106"/>
      <c r="C8" s="107"/>
      <c r="D8" s="107"/>
      <c r="E8" s="107"/>
      <c r="F8" s="107"/>
      <c r="G8" s="107"/>
      <c r="H8" s="108"/>
    </row>
    <row r="9" spans="2:8" ht="16.5" customHeight="1" x14ac:dyDescent="0.25">
      <c r="B9" s="178" t="s">
        <v>179</v>
      </c>
      <c r="C9" s="179"/>
      <c r="D9" s="179"/>
      <c r="E9" s="179"/>
      <c r="F9" s="179"/>
      <c r="G9" s="179"/>
      <c r="H9" s="180"/>
    </row>
    <row r="10" spans="2:8" ht="44.25" customHeight="1" x14ac:dyDescent="0.25">
      <c r="B10" s="178"/>
      <c r="C10" s="179"/>
      <c r="D10" s="179"/>
      <c r="E10" s="179"/>
      <c r="F10" s="179"/>
      <c r="G10" s="179"/>
      <c r="H10" s="180"/>
    </row>
    <row r="11" spans="2:8" ht="15.75" thickBot="1" x14ac:dyDescent="0.3">
      <c r="B11" s="94"/>
      <c r="C11" s="97"/>
      <c r="D11" s="102"/>
      <c r="E11" s="103"/>
      <c r="F11" s="103"/>
      <c r="G11" s="104"/>
      <c r="H11" s="105"/>
    </row>
    <row r="12" spans="2:8" ht="15.75" thickTop="1" x14ac:dyDescent="0.25">
      <c r="B12" s="94"/>
      <c r="C12" s="181" t="s">
        <v>158</v>
      </c>
      <c r="D12" s="182"/>
      <c r="E12" s="183" t="s">
        <v>180</v>
      </c>
      <c r="F12" s="184"/>
      <c r="G12" s="97"/>
      <c r="H12" s="98"/>
    </row>
    <row r="13" spans="2:8" ht="81.599999999999994" customHeight="1" x14ac:dyDescent="0.25">
      <c r="B13" s="94"/>
      <c r="C13" s="188" t="s">
        <v>160</v>
      </c>
      <c r="D13" s="189"/>
      <c r="E13" s="190" t="s">
        <v>196</v>
      </c>
      <c r="F13" s="191"/>
      <c r="G13" s="97"/>
      <c r="H13" s="98"/>
    </row>
    <row r="14" spans="2:8" x14ac:dyDescent="0.25">
      <c r="B14" s="94"/>
      <c r="C14" s="194" t="s">
        <v>190</v>
      </c>
      <c r="D14" s="195"/>
      <c r="E14" s="160" t="s">
        <v>197</v>
      </c>
      <c r="F14" s="161"/>
      <c r="G14" s="97"/>
      <c r="H14" s="98"/>
    </row>
    <row r="15" spans="2:8" ht="32.25" customHeight="1" x14ac:dyDescent="0.25">
      <c r="B15" s="94"/>
      <c r="C15" s="192" t="s">
        <v>191</v>
      </c>
      <c r="D15" s="193"/>
      <c r="E15" s="160" t="s">
        <v>203</v>
      </c>
      <c r="F15" s="161"/>
      <c r="G15" s="97"/>
      <c r="H15" s="98"/>
    </row>
    <row r="16" spans="2:8" ht="28.5" customHeight="1" x14ac:dyDescent="0.25">
      <c r="B16" s="94"/>
      <c r="C16" s="162" t="s">
        <v>193</v>
      </c>
      <c r="D16" s="163"/>
      <c r="E16" s="164" t="s">
        <v>194</v>
      </c>
      <c r="F16" s="165"/>
      <c r="G16" s="97"/>
      <c r="H16" s="98"/>
    </row>
    <row r="17" spans="2:8" ht="32.25" customHeight="1" x14ac:dyDescent="0.25">
      <c r="B17" s="94"/>
      <c r="C17" s="145" t="s">
        <v>199</v>
      </c>
      <c r="D17" s="146"/>
      <c r="E17" s="160" t="s">
        <v>200</v>
      </c>
      <c r="F17" s="161"/>
      <c r="G17" s="97"/>
      <c r="H17" s="98"/>
    </row>
    <row r="18" spans="2:8" ht="72.75" customHeight="1" x14ac:dyDescent="0.25">
      <c r="B18" s="94"/>
      <c r="C18" s="162" t="s">
        <v>1</v>
      </c>
      <c r="D18" s="163"/>
      <c r="E18" s="164" t="s">
        <v>188</v>
      </c>
      <c r="F18" s="165"/>
      <c r="G18" s="97"/>
      <c r="H18" s="98"/>
    </row>
    <row r="19" spans="2:8" ht="64.5" customHeight="1" x14ac:dyDescent="0.25">
      <c r="B19" s="94"/>
      <c r="C19" s="162" t="s">
        <v>46</v>
      </c>
      <c r="D19" s="163"/>
      <c r="E19" s="164" t="s">
        <v>192</v>
      </c>
      <c r="F19" s="165"/>
      <c r="G19" s="147"/>
      <c r="H19" s="98"/>
    </row>
    <row r="20" spans="2:8" ht="62.25" customHeight="1" x14ac:dyDescent="0.25">
      <c r="B20" s="94"/>
      <c r="C20" s="162" t="s">
        <v>201</v>
      </c>
      <c r="D20" s="163"/>
      <c r="E20" s="164" t="s">
        <v>195</v>
      </c>
      <c r="F20" s="165"/>
      <c r="G20" s="147"/>
      <c r="H20" s="98"/>
    </row>
    <row r="21" spans="2:8" ht="71.25" customHeight="1" x14ac:dyDescent="0.25">
      <c r="B21" s="94"/>
      <c r="C21" s="162" t="s">
        <v>161</v>
      </c>
      <c r="D21" s="163"/>
      <c r="E21" s="164" t="s">
        <v>204</v>
      </c>
      <c r="F21" s="165"/>
      <c r="G21" s="147"/>
      <c r="H21" s="98"/>
    </row>
    <row r="22" spans="2:8" ht="55.5" customHeight="1" x14ac:dyDescent="0.25">
      <c r="B22" s="94"/>
      <c r="C22" s="196" t="s">
        <v>162</v>
      </c>
      <c r="D22" s="197"/>
      <c r="E22" s="164" t="s">
        <v>205</v>
      </c>
      <c r="F22" s="165"/>
      <c r="G22" s="148"/>
      <c r="H22" s="98"/>
    </row>
    <row r="23" spans="2:8" ht="42" customHeight="1" x14ac:dyDescent="0.25">
      <c r="B23" s="94"/>
      <c r="C23" s="196" t="s">
        <v>44</v>
      </c>
      <c r="D23" s="197"/>
      <c r="E23" s="164" t="s">
        <v>206</v>
      </c>
      <c r="F23" s="165"/>
      <c r="G23" s="97"/>
      <c r="H23" s="98"/>
    </row>
    <row r="24" spans="2:8" ht="59.25" customHeight="1" x14ac:dyDescent="0.25">
      <c r="B24" s="94"/>
      <c r="C24" s="196" t="s">
        <v>156</v>
      </c>
      <c r="D24" s="197"/>
      <c r="E24" s="164" t="s">
        <v>189</v>
      </c>
      <c r="F24" s="165"/>
      <c r="G24" s="97"/>
      <c r="H24" s="98"/>
    </row>
    <row r="25" spans="2:8" ht="23.25" customHeight="1" x14ac:dyDescent="0.25">
      <c r="B25" s="94"/>
      <c r="C25" s="196" t="s">
        <v>11</v>
      </c>
      <c r="D25" s="197"/>
      <c r="E25" s="164" t="s">
        <v>207</v>
      </c>
      <c r="F25" s="165"/>
      <c r="G25" s="97"/>
      <c r="H25" s="98"/>
    </row>
    <row r="26" spans="2:8" ht="30.75" customHeight="1" x14ac:dyDescent="0.25">
      <c r="B26" s="94"/>
      <c r="C26" s="196" t="s">
        <v>165</v>
      </c>
      <c r="D26" s="197"/>
      <c r="E26" s="164" t="s">
        <v>163</v>
      </c>
      <c r="F26" s="165"/>
      <c r="G26" s="97"/>
      <c r="H26" s="98"/>
    </row>
    <row r="27" spans="2:8" ht="35.25" customHeight="1" x14ac:dyDescent="0.25">
      <c r="B27" s="94"/>
      <c r="C27" s="196" t="s">
        <v>166</v>
      </c>
      <c r="D27" s="197"/>
      <c r="E27" s="164" t="s">
        <v>164</v>
      </c>
      <c r="F27" s="165"/>
      <c r="G27" s="97"/>
      <c r="H27" s="98"/>
    </row>
    <row r="28" spans="2:8" ht="33" customHeight="1" x14ac:dyDescent="0.25">
      <c r="B28" s="94"/>
      <c r="C28" s="196" t="s">
        <v>166</v>
      </c>
      <c r="D28" s="197"/>
      <c r="E28" s="164" t="s">
        <v>164</v>
      </c>
      <c r="F28" s="165"/>
      <c r="G28" s="97"/>
      <c r="H28" s="98"/>
    </row>
    <row r="29" spans="2:8" ht="30" customHeight="1" x14ac:dyDescent="0.25">
      <c r="B29" s="94"/>
      <c r="C29" s="196" t="s">
        <v>167</v>
      </c>
      <c r="D29" s="197"/>
      <c r="E29" s="164" t="s">
        <v>208</v>
      </c>
      <c r="F29" s="165"/>
      <c r="G29" s="97"/>
      <c r="H29" s="98"/>
    </row>
    <row r="30" spans="2:8" ht="35.25" customHeight="1" x14ac:dyDescent="0.25">
      <c r="B30" s="94"/>
      <c r="C30" s="196" t="s">
        <v>168</v>
      </c>
      <c r="D30" s="197"/>
      <c r="E30" s="164" t="s">
        <v>169</v>
      </c>
      <c r="F30" s="165"/>
      <c r="G30" s="97"/>
      <c r="H30" s="98"/>
    </row>
    <row r="31" spans="2:8" ht="31.5" customHeight="1" x14ac:dyDescent="0.25">
      <c r="B31" s="94"/>
      <c r="C31" s="196" t="s">
        <v>170</v>
      </c>
      <c r="D31" s="197"/>
      <c r="E31" s="164" t="s">
        <v>171</v>
      </c>
      <c r="F31" s="165"/>
      <c r="G31" s="97"/>
      <c r="H31" s="98"/>
    </row>
    <row r="32" spans="2:8" ht="35.25" customHeight="1" x14ac:dyDescent="0.25">
      <c r="B32" s="94"/>
      <c r="C32" s="196" t="s">
        <v>172</v>
      </c>
      <c r="D32" s="197"/>
      <c r="E32" s="164" t="s">
        <v>173</v>
      </c>
      <c r="F32" s="165"/>
      <c r="G32" s="97"/>
      <c r="H32" s="98"/>
    </row>
    <row r="33" spans="2:8" ht="59.25" customHeight="1" x14ac:dyDescent="0.25">
      <c r="B33" s="94"/>
      <c r="C33" s="196" t="s">
        <v>174</v>
      </c>
      <c r="D33" s="197"/>
      <c r="E33" s="164" t="s">
        <v>209</v>
      </c>
      <c r="F33" s="165"/>
      <c r="G33" s="97"/>
      <c r="H33" s="98"/>
    </row>
    <row r="34" spans="2:8" ht="41.45" customHeight="1" x14ac:dyDescent="0.25">
      <c r="B34" s="94"/>
      <c r="C34" s="196" t="s">
        <v>28</v>
      </c>
      <c r="D34" s="197"/>
      <c r="E34" s="164" t="s">
        <v>175</v>
      </c>
      <c r="F34" s="165"/>
      <c r="G34" s="97"/>
      <c r="H34" s="98"/>
    </row>
    <row r="35" spans="2:8" ht="96.6" customHeight="1" x14ac:dyDescent="0.25">
      <c r="B35" s="94"/>
      <c r="C35" s="196" t="s">
        <v>177</v>
      </c>
      <c r="D35" s="197"/>
      <c r="E35" s="164" t="s">
        <v>176</v>
      </c>
      <c r="F35" s="165"/>
      <c r="G35" s="97"/>
      <c r="H35" s="98"/>
    </row>
    <row r="36" spans="2:8" ht="52.15" customHeight="1" x14ac:dyDescent="0.25">
      <c r="B36" s="94"/>
      <c r="C36" s="196" t="s">
        <v>38</v>
      </c>
      <c r="D36" s="197"/>
      <c r="E36" s="164" t="s">
        <v>178</v>
      </c>
      <c r="F36" s="165"/>
      <c r="G36" s="97"/>
      <c r="H36" s="98"/>
    </row>
    <row r="37" spans="2:8" ht="12" customHeight="1" thickBot="1" x14ac:dyDescent="0.3">
      <c r="B37" s="94"/>
      <c r="C37" s="201"/>
      <c r="D37" s="202"/>
      <c r="E37" s="203"/>
      <c r="F37" s="204"/>
      <c r="G37" s="97"/>
      <c r="H37" s="98"/>
    </row>
    <row r="38" spans="2:8" ht="15.75" thickTop="1" x14ac:dyDescent="0.25">
      <c r="B38" s="94"/>
      <c r="C38" s="95"/>
      <c r="D38" s="95"/>
      <c r="E38" s="96"/>
      <c r="F38" s="96"/>
      <c r="G38" s="97"/>
      <c r="H38" s="98"/>
    </row>
    <row r="39" spans="2:8" ht="21" customHeight="1" x14ac:dyDescent="0.25">
      <c r="B39" s="198" t="s">
        <v>181</v>
      </c>
      <c r="C39" s="199"/>
      <c r="D39" s="199"/>
      <c r="E39" s="199"/>
      <c r="F39" s="199"/>
      <c r="G39" s="199"/>
      <c r="H39" s="200"/>
    </row>
    <row r="40" spans="2:8" ht="20.25" customHeight="1" x14ac:dyDescent="0.25">
      <c r="B40" s="198" t="s">
        <v>182</v>
      </c>
      <c r="C40" s="199"/>
      <c r="D40" s="199"/>
      <c r="E40" s="199"/>
      <c r="F40" s="199"/>
      <c r="G40" s="199"/>
      <c r="H40" s="200"/>
    </row>
    <row r="41" spans="2:8" ht="20.25" customHeight="1" x14ac:dyDescent="0.25">
      <c r="B41" s="198" t="s">
        <v>183</v>
      </c>
      <c r="C41" s="199"/>
      <c r="D41" s="199"/>
      <c r="E41" s="199"/>
      <c r="F41" s="199"/>
      <c r="G41" s="199"/>
      <c r="H41" s="200"/>
    </row>
    <row r="42" spans="2:8" ht="20.25" customHeight="1" x14ac:dyDescent="0.25">
      <c r="B42" s="198" t="s">
        <v>184</v>
      </c>
      <c r="C42" s="199"/>
      <c r="D42" s="199"/>
      <c r="E42" s="199"/>
      <c r="F42" s="199"/>
      <c r="G42" s="199"/>
      <c r="H42" s="200"/>
    </row>
    <row r="43" spans="2:8" x14ac:dyDescent="0.25">
      <c r="B43" s="198" t="s">
        <v>185</v>
      </c>
      <c r="C43" s="199"/>
      <c r="D43" s="199"/>
      <c r="E43" s="199"/>
      <c r="F43" s="199"/>
      <c r="G43" s="199"/>
      <c r="H43" s="200"/>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37"/>
  <sheetViews>
    <sheetView tabSelected="1" topLeftCell="T1" zoomScale="70" zoomScaleNormal="70" workbookViewId="0">
      <pane ySplit="8" topLeftCell="A9" activePane="bottomLeft" state="frozen"/>
      <selection pane="bottomLeft" activeCell="AJ21" sqref="AJ21"/>
    </sheetView>
  </sheetViews>
  <sheetFormatPr baseColWidth="10" defaultColWidth="11.42578125" defaultRowHeight="16.5" x14ac:dyDescent="0.3"/>
  <cols>
    <col min="1" max="1" width="4" style="128" bestFit="1" customWidth="1"/>
    <col min="2" max="2" width="24.28515625" style="128" customWidth="1"/>
    <col min="3" max="3" width="69.7109375" style="128" customWidth="1"/>
    <col min="4" max="4" width="33.85546875" style="128" customWidth="1"/>
    <col min="5" max="5" width="53.7109375" style="110" customWidth="1"/>
    <col min="6" max="6" width="47.7109375" style="110" customWidth="1"/>
    <col min="7" max="8" width="19" style="129"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46.140625"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22.140625" style="110" customWidth="1"/>
    <col min="35" max="35" width="23.5703125" style="110" customWidth="1"/>
    <col min="36" max="36" width="20.5703125" style="110" customWidth="1"/>
    <col min="37" max="37" width="18.5703125" style="110" customWidth="1"/>
    <col min="38" max="38" width="21" style="110" customWidth="1"/>
    <col min="39" max="16384" width="11.42578125" style="110"/>
  </cols>
  <sheetData>
    <row r="1" spans="1:70" ht="35.25" customHeight="1" x14ac:dyDescent="0.3">
      <c r="A1" s="205" t="s">
        <v>137</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7"/>
      <c r="AM1" s="157"/>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08" t="s">
        <v>237</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10"/>
      <c r="AM2" s="157"/>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24" customHeight="1" x14ac:dyDescent="0.3">
      <c r="A3" s="208" t="s">
        <v>235</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10"/>
      <c r="AM3" s="157"/>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56.25" customHeight="1" x14ac:dyDescent="0.3">
      <c r="A4" s="208" t="s">
        <v>236</v>
      </c>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10"/>
      <c r="AM4" s="157"/>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54"/>
      <c r="B5" s="154"/>
      <c r="C5" s="154"/>
      <c r="D5" s="154"/>
      <c r="E5" s="155"/>
      <c r="F5" s="155"/>
      <c r="G5" s="156"/>
      <c r="H5" s="156"/>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ht="26.25" customHeight="1" x14ac:dyDescent="0.3">
      <c r="A6" s="234" t="s">
        <v>133</v>
      </c>
      <c r="B6" s="234"/>
      <c r="C6" s="234"/>
      <c r="D6" s="234"/>
      <c r="E6" s="234"/>
      <c r="F6" s="234"/>
      <c r="G6" s="234"/>
      <c r="H6" s="234"/>
      <c r="I6" s="234"/>
      <c r="J6" s="234" t="s">
        <v>134</v>
      </c>
      <c r="K6" s="234"/>
      <c r="L6" s="234"/>
      <c r="M6" s="234"/>
      <c r="N6" s="234"/>
      <c r="O6" s="234"/>
      <c r="P6" s="234"/>
      <c r="Q6" s="234" t="s">
        <v>135</v>
      </c>
      <c r="R6" s="234"/>
      <c r="S6" s="234"/>
      <c r="T6" s="234"/>
      <c r="U6" s="234"/>
      <c r="V6" s="234"/>
      <c r="W6" s="234"/>
      <c r="X6" s="234"/>
      <c r="Y6" s="234"/>
      <c r="Z6" s="234" t="s">
        <v>136</v>
      </c>
      <c r="AA6" s="234"/>
      <c r="AB6" s="234"/>
      <c r="AC6" s="234"/>
      <c r="AD6" s="234"/>
      <c r="AE6" s="234"/>
      <c r="AF6" s="234"/>
      <c r="AG6" s="234" t="s">
        <v>33</v>
      </c>
      <c r="AH6" s="234"/>
      <c r="AI6" s="234"/>
      <c r="AJ6" s="234"/>
      <c r="AK6" s="234"/>
      <c r="AL6" s="234"/>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16.5" customHeight="1" x14ac:dyDescent="0.3">
      <c r="A7" s="233" t="s">
        <v>0</v>
      </c>
      <c r="B7" s="143"/>
      <c r="C7" s="143"/>
      <c r="D7" s="232" t="s">
        <v>193</v>
      </c>
      <c r="E7" s="232" t="s">
        <v>199</v>
      </c>
      <c r="F7" s="142"/>
      <c r="G7" s="232" t="s">
        <v>46</v>
      </c>
      <c r="H7" s="211" t="s">
        <v>201</v>
      </c>
      <c r="I7" s="232" t="s">
        <v>129</v>
      </c>
      <c r="J7" s="232" t="s">
        <v>32</v>
      </c>
      <c r="K7" s="234" t="s">
        <v>4</v>
      </c>
      <c r="L7" s="232" t="s">
        <v>83</v>
      </c>
      <c r="M7" s="232" t="s">
        <v>88</v>
      </c>
      <c r="N7" s="232" t="s">
        <v>41</v>
      </c>
      <c r="O7" s="234" t="s">
        <v>4</v>
      </c>
      <c r="P7" s="232" t="s">
        <v>44</v>
      </c>
      <c r="Q7" s="231" t="s">
        <v>10</v>
      </c>
      <c r="R7" s="232" t="s">
        <v>156</v>
      </c>
      <c r="S7" s="232" t="s">
        <v>11</v>
      </c>
      <c r="T7" s="232" t="s">
        <v>7</v>
      </c>
      <c r="U7" s="232"/>
      <c r="V7" s="232"/>
      <c r="W7" s="232"/>
      <c r="X7" s="232"/>
      <c r="Y7" s="232"/>
      <c r="Z7" s="231" t="s">
        <v>132</v>
      </c>
      <c r="AA7" s="231" t="s">
        <v>42</v>
      </c>
      <c r="AB7" s="231" t="s">
        <v>4</v>
      </c>
      <c r="AC7" s="231" t="s">
        <v>43</v>
      </c>
      <c r="AD7" s="231" t="s">
        <v>4</v>
      </c>
      <c r="AE7" s="231" t="s">
        <v>45</v>
      </c>
      <c r="AF7" s="231" t="s">
        <v>28</v>
      </c>
      <c r="AG7" s="232" t="s">
        <v>33</v>
      </c>
      <c r="AH7" s="232" t="s">
        <v>34</v>
      </c>
      <c r="AI7" s="232" t="s">
        <v>35</v>
      </c>
      <c r="AJ7" s="232" t="s">
        <v>37</v>
      </c>
      <c r="AK7" s="232" t="s">
        <v>36</v>
      </c>
      <c r="AL7" s="232"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120" customHeight="1" x14ac:dyDescent="0.25">
      <c r="A8" s="233"/>
      <c r="B8" s="144" t="s">
        <v>190</v>
      </c>
      <c r="C8" s="144" t="s">
        <v>202</v>
      </c>
      <c r="D8" s="232"/>
      <c r="E8" s="232"/>
      <c r="F8" s="142" t="s">
        <v>198</v>
      </c>
      <c r="G8" s="232"/>
      <c r="H8" s="212"/>
      <c r="I8" s="232"/>
      <c r="J8" s="232"/>
      <c r="K8" s="234"/>
      <c r="L8" s="232"/>
      <c r="M8" s="232"/>
      <c r="N8" s="234"/>
      <c r="O8" s="234"/>
      <c r="P8" s="232"/>
      <c r="Q8" s="231"/>
      <c r="R8" s="232"/>
      <c r="S8" s="232"/>
      <c r="T8" s="130" t="s">
        <v>12</v>
      </c>
      <c r="U8" s="130" t="s">
        <v>16</v>
      </c>
      <c r="V8" s="130" t="s">
        <v>27</v>
      </c>
      <c r="W8" s="130" t="s">
        <v>17</v>
      </c>
      <c r="X8" s="130" t="s">
        <v>20</v>
      </c>
      <c r="Y8" s="130" t="s">
        <v>23</v>
      </c>
      <c r="Z8" s="231"/>
      <c r="AA8" s="231"/>
      <c r="AB8" s="231"/>
      <c r="AC8" s="231"/>
      <c r="AD8" s="231"/>
      <c r="AE8" s="231"/>
      <c r="AF8" s="231"/>
      <c r="AG8" s="232"/>
      <c r="AH8" s="232"/>
      <c r="AI8" s="232"/>
      <c r="AJ8" s="232"/>
      <c r="AK8" s="232"/>
      <c r="AL8" s="232"/>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82.5" customHeight="1" x14ac:dyDescent="0.25">
      <c r="A9" s="222">
        <v>1</v>
      </c>
      <c r="B9" s="228"/>
      <c r="C9" s="225" t="s">
        <v>238</v>
      </c>
      <c r="D9" s="223" t="s">
        <v>240</v>
      </c>
      <c r="E9" s="213" t="s">
        <v>241</v>
      </c>
      <c r="F9" s="213" t="s">
        <v>239</v>
      </c>
      <c r="G9" s="223" t="s">
        <v>221</v>
      </c>
      <c r="H9" s="214" t="s">
        <v>210</v>
      </c>
      <c r="I9" s="224">
        <v>30</v>
      </c>
      <c r="J9" s="220" t="str">
        <f>IF(I9&lt;=0,"",IF(I9&lt;=2,"Muy Baja",IF(I9&lt;=24,"Baja",IF(I9&lt;=500,"Media",IF(I9&lt;=5000,"Alta","Muy Alta")))))</f>
        <v>Media</v>
      </c>
      <c r="K9" s="219">
        <f>IF(J9="","",IF(J9="Muy Baja",0.2,IF(J9="Baja",0.4,IF(J9="Media",0.6,IF(J9="Alta",0.8,IF(J9="Muy Alta",1,))))))</f>
        <v>0.6</v>
      </c>
      <c r="L9" s="218" t="s">
        <v>147</v>
      </c>
      <c r="M9" s="219" t="str">
        <f>IF(NOT(ISERROR(MATCH(L9,'Tabla Impacto'!$B$221:$B$223,0))),'Tabla Impacto'!$F$223&amp;"Por favor no seleccionar los criterios de impacto(Afectación Económica o presupuestal y Pérdida Reputacional)",L9)</f>
        <v xml:space="preserve">     El riesgo afecta la imagen de la entidad internamente, de conocimiento general, nivel interno, de junta dircetiva y accionistas y/o de provedores</v>
      </c>
      <c r="N9" s="220" t="str">
        <f>IF(OR(M9='Tabla Impacto'!$C$11,M9='Tabla Impacto'!$D$11),"Leve",IF(OR(M9='Tabla Impacto'!$C$12,M9='Tabla Impacto'!$D$12),"Menor",IF(OR(M9='Tabla Impacto'!$C$13,M9='Tabla Impacto'!$D$13),"Moderado",IF(OR(M9='Tabla Impacto'!$C$14,M9='Tabla Impacto'!$D$14),"Mayor",IF(OR(M9='Tabla Impacto'!$C$15,M9='Tabla Impacto'!$D$15),"Catastrófico","")))))</f>
        <v>Menor</v>
      </c>
      <c r="O9" s="219">
        <f>IF(N9="","",IF(N9="Leve",0.2,IF(N9="Menor",0.4,IF(N9="Moderado",0.6,IF(N9="Mayor",0.8,IF(N9="Catastrófico",1,))))))</f>
        <v>0.4</v>
      </c>
      <c r="P9" s="221" t="str">
        <f>IF(OR(AND(J9="Muy Baja",N9="Leve"),AND(J9="Muy Baja",N9="Menor"),AND(J9="Baja",N9="Leve")),"Bajo",IF(OR(AND(J9="Muy baja",N9="Moderado"),AND(J9="Baja",N9="Menor"),AND(J9="Baja",N9="Moderado"),AND(J9="Media",N9="Leve"),AND(J9="Media",N9="Menor"),AND(J9="Media",N9="Moderado"),AND(J9="Alta",N9="Leve"),AND(J9="Alta",N9="Menor")),"Moderado",IF(OR(AND(J9="Muy Baja",N9="Mayor"),AND(J9="Baja",N9="Mayor"),AND(J9="Media",N9="Mayor"),AND(J9="Alta",N9="Moderado"),AND(J9="Alta",N9="Mayor"),AND(J9="Muy Alta",N9="Leve"),AND(J9="Muy Alta",N9="Menor"),AND(J9="Muy Alta",N9="Moderado"),AND(J9="Muy Alta",N9="Mayor")),"Alto",IF(OR(AND(J9="Muy Baja",N9="Catastrófico"),AND(J9="Baja",N9="Catastrófico"),AND(J9="Media",N9="Catastrófico"),AND(J9="Alta",N9="Catastrófico"),AND(J9="Muy Alta",N9="Catastrófico")),"Extremo",""))))</f>
        <v>Moderado</v>
      </c>
      <c r="Q9" s="113">
        <v>1</v>
      </c>
      <c r="R9" s="114" t="s">
        <v>242</v>
      </c>
      <c r="S9" s="115" t="str">
        <f>IF(OR(T9="Preventivo",T9="Detectivo"),"Probabilidad",IF(T9="Correctivo","Impacto",""))</f>
        <v>Probabilidad</v>
      </c>
      <c r="T9" s="116" t="s">
        <v>13</v>
      </c>
      <c r="U9" s="116" t="s">
        <v>8</v>
      </c>
      <c r="V9" s="117" t="str">
        <f>IF(AND(T9="Preventivo",U9="Automático"),"50%",IF(AND(T9="Preventivo",U9="Manual"),"40%",IF(AND(T9="Detectivo",U9="Automático"),"40%",IF(AND(T9="Detectivo",U9="Manual"),"30%",IF(AND(T9="Correctivo",U9="Automático"),"35%",IF(AND(T9="Correctivo",U9="Manual"),"25%",""))))))</f>
        <v>40%</v>
      </c>
      <c r="W9" s="116" t="s">
        <v>18</v>
      </c>
      <c r="X9" s="116" t="s">
        <v>21</v>
      </c>
      <c r="Y9" s="116" t="s">
        <v>115</v>
      </c>
      <c r="Z9" s="118">
        <f>IFERROR(IF(S9="Probabilidad",(K9-(+K9*V9)),IF(S9="Impacto",K9,"")),"")</f>
        <v>0.36</v>
      </c>
      <c r="AA9" s="119" t="str">
        <f>IFERROR(IF(Z9="","",IF(Z9&lt;=0.2,"Muy Baja",IF(Z9&lt;=0.4,"Baja",IF(Z9&lt;=0.6,"Media",IF(Z9&lt;=0.8,"Alta","Muy Alta"))))),"")</f>
        <v>Baja</v>
      </c>
      <c r="AB9" s="117">
        <f>+Z9</f>
        <v>0.36</v>
      </c>
      <c r="AC9" s="119" t="str">
        <f>IFERROR(IF(AD9="","",IF(AD9&lt;=0.2,"Leve",IF(AD9&lt;=0.4,"Menor",IF(AD9&lt;=0.6,"Moderado",IF(AD9&lt;=0.8,"Mayor","Catastrófico"))))),"")</f>
        <v>Menor</v>
      </c>
      <c r="AD9" s="117">
        <f>IFERROR(IF(S9="Impacto",(O9-(+O9*V9)),IF(S9="Probabilidad",O9,"")),"")</f>
        <v>0.4</v>
      </c>
      <c r="AE9" s="120" t="str">
        <f>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Moderado</v>
      </c>
      <c r="AF9" s="116" t="s">
        <v>130</v>
      </c>
      <c r="AG9" s="150" t="s">
        <v>245</v>
      </c>
      <c r="AH9" s="149" t="s">
        <v>244</v>
      </c>
      <c r="AI9" s="123">
        <v>44423</v>
      </c>
      <c r="AJ9" s="123" t="s">
        <v>213</v>
      </c>
      <c r="AK9" s="121"/>
      <c r="AL9" s="122" t="s">
        <v>39</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75.75" x14ac:dyDescent="0.3">
      <c r="A10" s="222"/>
      <c r="B10" s="229"/>
      <c r="C10" s="226"/>
      <c r="D10" s="223"/>
      <c r="E10" s="213"/>
      <c r="F10" s="213"/>
      <c r="G10" s="223"/>
      <c r="H10" s="215"/>
      <c r="I10" s="224"/>
      <c r="J10" s="220"/>
      <c r="K10" s="219"/>
      <c r="L10" s="218"/>
      <c r="M10" s="219">
        <f ca="1">IF(NOT(ISERROR(MATCH(L10,_xlfn.ANCHORARRAY(E21),0))),K23&amp;"Por favor no seleccionar los criterios de impacto",L10)</f>
        <v>0</v>
      </c>
      <c r="N10" s="220"/>
      <c r="O10" s="219"/>
      <c r="P10" s="221"/>
      <c r="Q10" s="113">
        <v>2</v>
      </c>
      <c r="R10" s="114" t="s">
        <v>243</v>
      </c>
      <c r="S10" s="115" t="str">
        <f>IF(OR(T10="Preventivo",T10="Detectivo"),"Probabilidad",IF(T10="Correctivo","Impacto",""))</f>
        <v>Probabilidad</v>
      </c>
      <c r="T10" s="116" t="s">
        <v>14</v>
      </c>
      <c r="U10" s="116" t="s">
        <v>8</v>
      </c>
      <c r="V10" s="117" t="str">
        <f>IF(AND(T10="Preventivo",U10="Automático"),"50%",IF(AND(T10="Preventivo",U10="Manual"),"40%",IF(AND(T10="Detectivo",U10="Automático"),"40%",IF(AND(T10="Detectivo",U10="Manual"),"30%",IF(AND(T10="Correctivo",U10="Automático"),"35%",IF(AND(T10="Correctivo",U10="Manual"),"25%",""))))))</f>
        <v>30%</v>
      </c>
      <c r="W10" s="116" t="s">
        <v>19</v>
      </c>
      <c r="X10" s="116" t="s">
        <v>21</v>
      </c>
      <c r="Y10" s="116" t="s">
        <v>115</v>
      </c>
      <c r="Z10" s="118">
        <f>IFERROR(IF(AND(S9="Probabilidad",S10="Probabilidad"),(AB9-(+AB9*V10)),IF(S10="Probabilidad",(K9-(+K9*V10)),IF(S10="Impacto",AB9,""))),"")</f>
        <v>0.252</v>
      </c>
      <c r="AA10" s="119" t="str">
        <f t="shared" ref="AA10:AA74" si="0">IFERROR(IF(Z10="","",IF(Z10&lt;=0.2,"Muy Baja",IF(Z10&lt;=0.4,"Baja",IF(Z10&lt;=0.6,"Media",IF(Z10&lt;=0.8,"Alta","Muy Alta"))))),"")</f>
        <v>Baja</v>
      </c>
      <c r="AB10" s="117">
        <f t="shared" ref="AB10" si="1">+Z10</f>
        <v>0.252</v>
      </c>
      <c r="AC10" s="119" t="str">
        <f t="shared" ref="AC10:AC74" si="2">IFERROR(IF(AD10="","",IF(AD10&lt;=0.2,"Leve",IF(AD10&lt;=0.4,"Menor",IF(AD10&lt;=0.6,"Moderado",IF(AD10&lt;=0.8,"Mayor","Catastrófico"))))),"")</f>
        <v>Menor</v>
      </c>
      <c r="AD10" s="117">
        <f>IFERROR(IF(AND(S9="Impacto",S10="Impacto"),(AD9-(+AD9*V10)),IF(S10="Impacto",($O$9-(+$O$9*V10)),IF(S10="Probabilidad",AD9,""))),"")</f>
        <v>0.4</v>
      </c>
      <c r="AE10" s="120" t="str">
        <f t="shared" ref="AE10"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Moderado</v>
      </c>
      <c r="AF10" s="116" t="s">
        <v>130</v>
      </c>
      <c r="AG10" s="121" t="s">
        <v>246</v>
      </c>
      <c r="AH10" s="158" t="s">
        <v>244</v>
      </c>
      <c r="AI10" s="123">
        <v>44423</v>
      </c>
      <c r="AJ10" s="123">
        <v>44560</v>
      </c>
      <c r="AK10" s="121"/>
      <c r="AL10" s="122" t="s">
        <v>39</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x14ac:dyDescent="0.3">
      <c r="A11" s="222"/>
      <c r="B11" s="229"/>
      <c r="C11" s="226"/>
      <c r="D11" s="223"/>
      <c r="E11" s="213"/>
      <c r="F11" s="213"/>
      <c r="G11" s="223"/>
      <c r="H11" s="215"/>
      <c r="I11" s="224"/>
      <c r="J11" s="220"/>
      <c r="K11" s="219"/>
      <c r="L11" s="218"/>
      <c r="M11" s="219">
        <f ca="1">IF(NOT(ISERROR(MATCH(L11,_xlfn.ANCHORARRAY(E22),0))),K24&amp;"Por favor no seleccionar los criterios de impacto",L11)</f>
        <v>0</v>
      </c>
      <c r="N11" s="220"/>
      <c r="O11" s="219"/>
      <c r="P11" s="221"/>
      <c r="Q11" s="113">
        <v>3</v>
      </c>
      <c r="R11" s="126"/>
      <c r="S11" s="115"/>
      <c r="T11" s="116"/>
      <c r="U11" s="116"/>
      <c r="V11" s="117"/>
      <c r="W11" s="116"/>
      <c r="X11" s="116"/>
      <c r="Y11" s="116"/>
      <c r="Z11" s="118"/>
      <c r="AA11" s="119"/>
      <c r="AB11" s="117"/>
      <c r="AC11" s="119"/>
      <c r="AD11" s="117"/>
      <c r="AE11" s="120"/>
      <c r="AF11" s="116"/>
      <c r="AG11" s="121"/>
      <c r="AH11" s="152"/>
      <c r="AI11" s="123"/>
      <c r="AJ11" s="123"/>
      <c r="AK11" s="121"/>
      <c r="AL11" s="122"/>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x14ac:dyDescent="0.3">
      <c r="A12" s="222"/>
      <c r="B12" s="229"/>
      <c r="C12" s="226"/>
      <c r="D12" s="223"/>
      <c r="E12" s="213"/>
      <c r="F12" s="213"/>
      <c r="G12" s="223"/>
      <c r="H12" s="215"/>
      <c r="I12" s="224"/>
      <c r="J12" s="220"/>
      <c r="K12" s="219"/>
      <c r="L12" s="218"/>
      <c r="M12" s="219">
        <f ca="1">IF(NOT(ISERROR(MATCH(L12,_xlfn.ANCHORARRAY(E23),0))),K25&amp;"Por favor no seleccionar los criterios de impacto",L12)</f>
        <v>0</v>
      </c>
      <c r="N12" s="220"/>
      <c r="O12" s="219"/>
      <c r="P12" s="221"/>
      <c r="Q12" s="113">
        <v>4</v>
      </c>
      <c r="R12" s="114"/>
      <c r="S12" s="115"/>
      <c r="T12" s="116"/>
      <c r="U12" s="116"/>
      <c r="V12" s="117"/>
      <c r="W12" s="116"/>
      <c r="X12" s="116"/>
      <c r="Y12" s="116"/>
      <c r="Z12" s="118"/>
      <c r="AA12" s="119"/>
      <c r="AB12" s="117"/>
      <c r="AC12" s="119"/>
      <c r="AD12" s="117"/>
      <c r="AE12" s="120"/>
      <c r="AF12" s="116"/>
      <c r="AG12" s="121"/>
      <c r="AH12" s="15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x14ac:dyDescent="0.3">
      <c r="A13" s="222"/>
      <c r="B13" s="229"/>
      <c r="C13" s="226"/>
      <c r="D13" s="223"/>
      <c r="E13" s="213"/>
      <c r="F13" s="213"/>
      <c r="G13" s="223"/>
      <c r="H13" s="215"/>
      <c r="I13" s="224"/>
      <c r="J13" s="220"/>
      <c r="K13" s="219"/>
      <c r="L13" s="218"/>
      <c r="M13" s="219">
        <f ca="1">IF(NOT(ISERROR(MATCH(L13,_xlfn.ANCHORARRAY(E24),0))),K26&amp;"Por favor no seleccionar los criterios de impacto",L13)</f>
        <v>0</v>
      </c>
      <c r="N13" s="220"/>
      <c r="O13" s="219"/>
      <c r="P13" s="221"/>
      <c r="Q13" s="113">
        <v>5</v>
      </c>
      <c r="R13" s="114"/>
      <c r="S13" s="115"/>
      <c r="T13" s="116"/>
      <c r="U13" s="116"/>
      <c r="V13" s="117"/>
      <c r="W13" s="116"/>
      <c r="X13" s="116"/>
      <c r="Y13" s="116"/>
      <c r="Z13" s="118"/>
      <c r="AA13" s="119"/>
      <c r="AB13" s="117"/>
      <c r="AC13" s="119"/>
      <c r="AD13" s="117"/>
      <c r="AE13" s="120"/>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28.25" customHeight="1" x14ac:dyDescent="0.3">
      <c r="A14" s="222"/>
      <c r="B14" s="230"/>
      <c r="C14" s="227"/>
      <c r="D14" s="223"/>
      <c r="E14" s="213"/>
      <c r="F14" s="213"/>
      <c r="G14" s="223"/>
      <c r="H14" s="216"/>
      <c r="I14" s="224"/>
      <c r="J14" s="220"/>
      <c r="K14" s="219"/>
      <c r="L14" s="218"/>
      <c r="M14" s="219">
        <f ca="1">IF(NOT(ISERROR(MATCH(L14,_xlfn.ANCHORARRAY(E25),0))),K27&amp;"Por favor no seleccionar los criterios de impacto",L14)</f>
        <v>0</v>
      </c>
      <c r="N14" s="220"/>
      <c r="O14" s="219"/>
      <c r="P14" s="221"/>
      <c r="Q14" s="113">
        <v>6</v>
      </c>
      <c r="R14" s="114"/>
      <c r="S14" s="115"/>
      <c r="T14" s="116"/>
      <c r="U14" s="116"/>
      <c r="V14" s="117"/>
      <c r="W14" s="116"/>
      <c r="X14" s="116"/>
      <c r="Y14" s="116"/>
      <c r="Z14" s="118"/>
      <c r="AA14" s="119"/>
      <c r="AB14" s="117"/>
      <c r="AC14" s="119"/>
      <c r="AD14" s="117"/>
      <c r="AE14" s="120"/>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75.75" customHeight="1" x14ac:dyDescent="0.3">
      <c r="A15" s="222">
        <v>2</v>
      </c>
      <c r="B15" s="228"/>
      <c r="C15" s="225" t="s">
        <v>238</v>
      </c>
      <c r="D15" s="223" t="s">
        <v>217</v>
      </c>
      <c r="E15" s="213" t="s">
        <v>216</v>
      </c>
      <c r="F15" s="213" t="s">
        <v>216</v>
      </c>
      <c r="G15" s="223" t="s">
        <v>211</v>
      </c>
      <c r="H15" s="214" t="s">
        <v>210</v>
      </c>
      <c r="I15" s="224">
        <v>100</v>
      </c>
      <c r="J15" s="220" t="str">
        <f>IF(I15&lt;=0,"",IF(I15&lt;=2,"Muy Baja",IF(I15&lt;=24,"Baja",IF(I15&lt;=500,"Media",IF(I15&lt;=5000,"Alta","Muy Alta")))))</f>
        <v>Media</v>
      </c>
      <c r="K15" s="219">
        <f>IF(J15="","",IF(J15="Muy Baja",0.2,IF(J15="Baja",0.4,IF(J15="Media",0.6,IF(J15="Alta",0.8,IF(J15="Muy Alta",1,))))))</f>
        <v>0.6</v>
      </c>
      <c r="L15" s="218" t="s">
        <v>143</v>
      </c>
      <c r="M15" s="219" t="str">
        <f>IF(NOT(ISERROR(MATCH(L15,'Tabla Impacto'!$B$221:$B$223,0))),'Tabla Impacto'!$F$223&amp;"Por favor no seleccionar los criterios de impacto(Afectación Económica o presupuestal y Pérdida Reputacional)",L15)</f>
        <v xml:space="preserve">     Entre 10 y 50 SMLMV </v>
      </c>
      <c r="N15" s="220" t="str">
        <f>IF(OR(M15='Tabla Impacto'!$C$11,M15='Tabla Impacto'!$D$11),"Leve",IF(OR(M15='Tabla Impacto'!$C$12,M15='Tabla Impacto'!$D$12),"Menor",IF(OR(M15='Tabla Impacto'!$C$13,M15='Tabla Impacto'!$D$13),"Moderado",IF(OR(M15='Tabla Impacto'!$C$14,M15='Tabla Impacto'!$D$14),"Mayor",IF(OR(M15='Tabla Impacto'!$C$15,M15='Tabla Impacto'!$D$15),"Catastrófico","")))))</f>
        <v>Menor</v>
      </c>
      <c r="O15" s="219">
        <f>IF(N15="","",IF(N15="Leve",0.2,IF(N15="Menor",0.4,IF(N15="Moderado",0.6,IF(N15="Mayor",0.8,IF(N15="Catastrófico",1,))))))</f>
        <v>0.4</v>
      </c>
      <c r="P15" s="221" t="str">
        <f>IF(OR(AND(J15="Muy Baja",N15="Leve"),AND(J15="Muy Baja",N15="Menor"),AND(J15="Baja",N15="Leve")),"Bajo",IF(OR(AND(J15="Muy baja",N15="Moderado"),AND(J15="Baja",N15="Menor"),AND(J15="Baja",N15="Moderado"),AND(J15="Media",N15="Leve"),AND(J15="Media",N15="Menor"),AND(J15="Media",N15="Moderado"),AND(J15="Alta",N15="Leve"),AND(J15="Alta",N15="Menor")),"Moderado",IF(OR(AND(J15="Muy Baja",N15="Mayor"),AND(J15="Baja",N15="Mayor"),AND(J15="Media",N15="Mayor"),AND(J15="Alta",N15="Moderado"),AND(J15="Alta",N15="Mayor"),AND(J15="Muy Alta",N15="Leve"),AND(J15="Muy Alta",N15="Menor"),AND(J15="Muy Alta",N15="Moderado"),AND(J15="Muy Alta",N15="Mayor")),"Alto",IF(OR(AND(J15="Muy Baja",N15="Catastrófico"),AND(J15="Baja",N15="Catastrófico"),AND(J15="Media",N15="Catastrófico"),AND(J15="Alta",N15="Catastrófico"),AND(J15="Muy Alta",N15="Catastrófico")),"Extremo",""))))</f>
        <v>Moderado</v>
      </c>
      <c r="Q15" s="113">
        <v>1</v>
      </c>
      <c r="R15" s="114" t="s">
        <v>256</v>
      </c>
      <c r="S15" s="115" t="str">
        <f>IF(OR(T15="Preventivo",T15="Detectivo"),"Probabilidad",IF(T15="Correctivo","Impacto",""))</f>
        <v>Probabilidad</v>
      </c>
      <c r="T15" s="116" t="s">
        <v>13</v>
      </c>
      <c r="U15" s="116" t="s">
        <v>8</v>
      </c>
      <c r="V15" s="117" t="str">
        <f>IF(AND(T15="Preventivo",U15="Automático"),"50%",IF(AND(T15="Preventivo",U15="Manual"),"40%",IF(AND(T15="Detectivo",U15="Automático"),"40%",IF(AND(T15="Detectivo",U15="Manual"),"30%",IF(AND(T15="Correctivo",U15="Automático"),"35%",IF(AND(T15="Correctivo",U15="Manual"),"25%",""))))))</f>
        <v>40%</v>
      </c>
      <c r="W15" s="116" t="s">
        <v>18</v>
      </c>
      <c r="X15" s="116" t="s">
        <v>21</v>
      </c>
      <c r="Y15" s="116" t="s">
        <v>115</v>
      </c>
      <c r="Z15" s="118">
        <f>IFERROR(IF(S15="Probabilidad",(K15-(+K15*V15)),IF(S15="Impacto",K15,"")),"")</f>
        <v>0.36</v>
      </c>
      <c r="AA15" s="119" t="str">
        <f>IFERROR(IF(Z15="","",IF(Z15&lt;=0.2,"Muy Baja",IF(Z15&lt;=0.4,"Baja",IF(Z15&lt;=0.6,"Media",IF(Z15&lt;=0.8,"Alta","Muy Alta"))))),"")</f>
        <v>Baja</v>
      </c>
      <c r="AB15" s="117">
        <f>+Z15</f>
        <v>0.36</v>
      </c>
      <c r="AC15" s="119" t="str">
        <f>IFERROR(IF(AD15="","",IF(AD15&lt;=0.2,"Leve",IF(AD15&lt;=0.4,"Menor",IF(AD15&lt;=0.6,"Moderado",IF(AD15&lt;=0.8,"Mayor","Catastrófico"))))),"")</f>
        <v>Menor</v>
      </c>
      <c r="AD15" s="117">
        <f>IFERROR(IF(S15="Impacto",(O15-(+O15*V15)),IF(S15="Probabilidad",O15,"")),"")</f>
        <v>0.4</v>
      </c>
      <c r="AE15" s="120" t="str">
        <f>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21" t="s">
        <v>218</v>
      </c>
      <c r="AH15" s="149" t="s">
        <v>219</v>
      </c>
      <c r="AI15" s="123">
        <v>44423</v>
      </c>
      <c r="AJ15" s="123" t="s">
        <v>213</v>
      </c>
      <c r="AK15" s="121"/>
      <c r="AL15" s="122" t="s">
        <v>39</v>
      </c>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59.25" customHeight="1" x14ac:dyDescent="0.3">
      <c r="A16" s="222"/>
      <c r="B16" s="229"/>
      <c r="C16" s="226"/>
      <c r="D16" s="223"/>
      <c r="E16" s="213"/>
      <c r="F16" s="213"/>
      <c r="G16" s="223"/>
      <c r="H16" s="215"/>
      <c r="I16" s="224"/>
      <c r="J16" s="220"/>
      <c r="K16" s="219"/>
      <c r="L16" s="218"/>
      <c r="M16" s="219">
        <f ca="1">IF(NOT(ISERROR(MATCH(L16,_xlfn.ANCHORARRAY(E27),0))),K29&amp;"Por favor no seleccionar los criterios de impacto",L16)</f>
        <v>0</v>
      </c>
      <c r="N16" s="220"/>
      <c r="O16" s="219"/>
      <c r="P16" s="221"/>
      <c r="Q16" s="113">
        <v>2</v>
      </c>
      <c r="R16" s="114" t="s">
        <v>257</v>
      </c>
      <c r="S16" s="115" t="str">
        <f>IF(OR(T16="Preventivo",T16="Detectivo"),"Probabilidad",IF(T16="Correctivo","Impacto",""))</f>
        <v>Probabilidad</v>
      </c>
      <c r="T16" s="116" t="s">
        <v>13</v>
      </c>
      <c r="U16" s="116" t="s">
        <v>8</v>
      </c>
      <c r="V16" s="117" t="str">
        <f t="shared" ref="V16:V20" si="4">IF(AND(T16="Preventivo",U16="Automático"),"50%",IF(AND(T16="Preventivo",U16="Manual"),"40%",IF(AND(T16="Detectivo",U16="Automático"),"40%",IF(AND(T16="Detectivo",U16="Manual"),"30%",IF(AND(T16="Correctivo",U16="Automático"),"35%",IF(AND(T16="Correctivo",U16="Manual"),"25%",""))))))</f>
        <v>40%</v>
      </c>
      <c r="W16" s="116" t="s">
        <v>18</v>
      </c>
      <c r="X16" s="116" t="s">
        <v>21</v>
      </c>
      <c r="Y16" s="116" t="s">
        <v>115</v>
      </c>
      <c r="Z16" s="118">
        <f>IFERROR(IF(AND(S15="Probabilidad",S16="Probabilidad"),(AB15-(+AB15*V16)),IF(S16="Probabilidad",(K15-(+K15*V16)),IF(S16="Impacto",AB15,""))),"")</f>
        <v>0.216</v>
      </c>
      <c r="AA16" s="119" t="str">
        <f t="shared" si="0"/>
        <v>Baja</v>
      </c>
      <c r="AB16" s="117">
        <f t="shared" ref="AB16:AB20" si="5">+Z16</f>
        <v>0.216</v>
      </c>
      <c r="AC16" s="119" t="str">
        <f t="shared" si="2"/>
        <v>Menor</v>
      </c>
      <c r="AD16" s="117">
        <f>IFERROR(IF(AND(S15="Impacto",S16="Impacto"),(AD9-(+AD9*V16)),IF(S16="Impacto",($O$15-(+$O$15*V16)),IF(S16="Probabilidad",AD9,""))),"")</f>
        <v>0.4</v>
      </c>
      <c r="AE16" s="120" t="str">
        <f t="shared" ref="AE16:AE17" si="6">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Moderado</v>
      </c>
      <c r="AF16" s="116" t="s">
        <v>130</v>
      </c>
      <c r="AG16" s="152" t="s">
        <v>215</v>
      </c>
      <c r="AH16" s="152" t="s">
        <v>214</v>
      </c>
      <c r="AI16" s="123">
        <v>44423</v>
      </c>
      <c r="AJ16" s="123">
        <v>44560</v>
      </c>
      <c r="AK16" s="121"/>
      <c r="AL16" s="122" t="s">
        <v>39</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67.5" customHeight="1" x14ac:dyDescent="0.3">
      <c r="A17" s="222"/>
      <c r="B17" s="229"/>
      <c r="C17" s="226"/>
      <c r="D17" s="223"/>
      <c r="E17" s="213"/>
      <c r="F17" s="213"/>
      <c r="G17" s="223"/>
      <c r="H17" s="215"/>
      <c r="I17" s="224"/>
      <c r="J17" s="220"/>
      <c r="K17" s="219"/>
      <c r="L17" s="218"/>
      <c r="M17" s="219">
        <f ca="1">IF(NOT(ISERROR(MATCH(L17,_xlfn.ANCHORARRAY(E28),0))),K30&amp;"Por favor no seleccionar los criterios de impacto",L17)</f>
        <v>0</v>
      </c>
      <c r="N17" s="220"/>
      <c r="O17" s="219"/>
      <c r="P17" s="221"/>
      <c r="Q17" s="113">
        <v>3</v>
      </c>
      <c r="R17" s="126"/>
      <c r="S17" s="115" t="str">
        <f>IF(OR(T17="Preventivo",T17="Detectivo"),"Probabilidad",IF(T17="Correctivo","Impacto",""))</f>
        <v/>
      </c>
      <c r="T17" s="116"/>
      <c r="U17" s="116"/>
      <c r="V17" s="117" t="str">
        <f t="shared" si="4"/>
        <v/>
      </c>
      <c r="W17" s="116"/>
      <c r="X17" s="116"/>
      <c r="Y17" s="116"/>
      <c r="Z17" s="118" t="str">
        <f>IFERROR(IF(AND(S16="Probabilidad",S17="Probabilidad"),(AB16-(+AB16*V17)),IF(AND(S16="Impacto",S17="Probabilidad"),(AB15-(+AB15*V17)),IF(S17="Impacto",AB16,""))),"")</f>
        <v/>
      </c>
      <c r="AA17" s="119" t="str">
        <f t="shared" si="0"/>
        <v/>
      </c>
      <c r="AB17" s="117" t="str">
        <f t="shared" si="5"/>
        <v/>
      </c>
      <c r="AC17" s="119" t="str">
        <f t="shared" si="2"/>
        <v/>
      </c>
      <c r="AD17" s="117" t="str">
        <f>IFERROR(IF(AND(S16="Impacto",S17="Impacto"),(AD16-(+AD16*V17)),IF(AND(S16="Probabilidad",S17="Impacto"),(AD15-(+AD15*V17)),IF(S17="Probabilidad",AD16,""))),"")</f>
        <v/>
      </c>
      <c r="AE17" s="120" t="str">
        <f t="shared" si="6"/>
        <v/>
      </c>
      <c r="AF17" s="116"/>
      <c r="AG17" s="152" t="s">
        <v>220</v>
      </c>
      <c r="AH17" s="152" t="s">
        <v>214</v>
      </c>
      <c r="AI17" s="123">
        <v>44423</v>
      </c>
      <c r="AJ17" s="123">
        <v>44560</v>
      </c>
      <c r="AK17" s="121"/>
      <c r="AL17" s="159" t="s">
        <v>39</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14.45" customHeight="1" x14ac:dyDescent="0.3">
      <c r="A18" s="222"/>
      <c r="B18" s="229"/>
      <c r="C18" s="226"/>
      <c r="D18" s="223"/>
      <c r="E18" s="213"/>
      <c r="F18" s="213"/>
      <c r="G18" s="223"/>
      <c r="H18" s="215"/>
      <c r="I18" s="224"/>
      <c r="J18" s="220"/>
      <c r="K18" s="219"/>
      <c r="L18" s="218"/>
      <c r="M18" s="219">
        <f ca="1">IF(NOT(ISERROR(MATCH(L18,_xlfn.ANCHORARRAY(E29),0))),K31&amp;"Por favor no seleccionar los criterios de impacto",L18)</f>
        <v>0</v>
      </c>
      <c r="N18" s="220"/>
      <c r="O18" s="219"/>
      <c r="P18" s="221"/>
      <c r="Q18" s="113">
        <v>4</v>
      </c>
      <c r="R18" s="114"/>
      <c r="S18" s="115" t="str">
        <f t="shared" ref="S18:S20" si="7">IF(OR(T18="Preventivo",T18="Detectivo"),"Probabilidad",IF(T18="Correctivo","Impacto",""))</f>
        <v/>
      </c>
      <c r="T18" s="116"/>
      <c r="U18" s="116"/>
      <c r="V18" s="117" t="str">
        <f t="shared" si="4"/>
        <v/>
      </c>
      <c r="W18" s="116"/>
      <c r="X18" s="116"/>
      <c r="Y18" s="116"/>
      <c r="Z18" s="118" t="str">
        <f t="shared" ref="Z18:Z20" si="8">IFERROR(IF(AND(S17="Probabilidad",S18="Probabilidad"),(AB17-(+AB17*V18)),IF(AND(S17="Impacto",S18="Probabilidad"),(AB16-(+AB16*V18)),IF(S18="Impacto",AB17,""))),"")</f>
        <v/>
      </c>
      <c r="AA18" s="119" t="str">
        <f t="shared" si="0"/>
        <v/>
      </c>
      <c r="AB18" s="117" t="str">
        <f t="shared" si="5"/>
        <v/>
      </c>
      <c r="AC18" s="119" t="str">
        <f t="shared" si="2"/>
        <v/>
      </c>
      <c r="AD18" s="117" t="str">
        <f t="shared" ref="AD18:AD20" si="9">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21"/>
      <c r="AH18" s="122"/>
      <c r="AI18" s="123"/>
      <c r="AJ18" s="123"/>
      <c r="AK18" s="121"/>
      <c r="AL18" s="122"/>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14.45" customHeight="1" x14ac:dyDescent="0.3">
      <c r="A19" s="222"/>
      <c r="B19" s="229"/>
      <c r="C19" s="226"/>
      <c r="D19" s="223"/>
      <c r="E19" s="213"/>
      <c r="F19" s="213"/>
      <c r="G19" s="223"/>
      <c r="H19" s="215"/>
      <c r="I19" s="224"/>
      <c r="J19" s="220"/>
      <c r="K19" s="219"/>
      <c r="L19" s="218"/>
      <c r="M19" s="219">
        <f ca="1">IF(NOT(ISERROR(MATCH(L19,_xlfn.ANCHORARRAY(E30),0))),K32&amp;"Por favor no seleccionar los criterios de impacto",L19)</f>
        <v>0</v>
      </c>
      <c r="N19" s="220"/>
      <c r="O19" s="219"/>
      <c r="P19" s="221"/>
      <c r="Q19" s="113">
        <v>5</v>
      </c>
      <c r="R19" s="114"/>
      <c r="S19" s="115" t="str">
        <f t="shared" si="7"/>
        <v/>
      </c>
      <c r="T19" s="116"/>
      <c r="U19" s="116"/>
      <c r="V19" s="117" t="str">
        <f t="shared" si="4"/>
        <v/>
      </c>
      <c r="W19" s="116"/>
      <c r="X19" s="116"/>
      <c r="Y19" s="116"/>
      <c r="Z19" s="118" t="str">
        <f t="shared" si="8"/>
        <v/>
      </c>
      <c r="AA19" s="119" t="str">
        <f t="shared" si="0"/>
        <v/>
      </c>
      <c r="AB19" s="117" t="str">
        <f t="shared" si="5"/>
        <v/>
      </c>
      <c r="AC19" s="119" t="str">
        <f t="shared" si="2"/>
        <v/>
      </c>
      <c r="AD19" s="117" t="str">
        <f t="shared" si="9"/>
        <v/>
      </c>
      <c r="AE19" s="120" t="str">
        <f t="shared" ref="AE19:AE20" si="10">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21"/>
      <c r="AH19" s="122"/>
      <c r="AI19" s="123"/>
      <c r="AJ19" s="123"/>
      <c r="AK19" s="121"/>
      <c r="AL19" s="122"/>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65.25" customHeight="1" x14ac:dyDescent="0.3">
      <c r="A20" s="222"/>
      <c r="B20" s="230"/>
      <c r="C20" s="227"/>
      <c r="D20" s="223"/>
      <c r="E20" s="213"/>
      <c r="F20" s="213"/>
      <c r="G20" s="223"/>
      <c r="H20" s="216"/>
      <c r="I20" s="224"/>
      <c r="J20" s="220"/>
      <c r="K20" s="219"/>
      <c r="L20" s="218"/>
      <c r="M20" s="219">
        <f ca="1">IF(NOT(ISERROR(MATCH(L20,_xlfn.ANCHORARRAY(E31),0))),K39&amp;"Por favor no seleccionar los criterios de impacto",L20)</f>
        <v>0</v>
      </c>
      <c r="N20" s="220"/>
      <c r="O20" s="219"/>
      <c r="P20" s="221"/>
      <c r="Q20" s="113">
        <v>6</v>
      </c>
      <c r="R20" s="114"/>
      <c r="S20" s="115" t="str">
        <f t="shared" si="7"/>
        <v/>
      </c>
      <c r="T20" s="116"/>
      <c r="U20" s="116"/>
      <c r="V20" s="117" t="str">
        <f t="shared" si="4"/>
        <v/>
      </c>
      <c r="W20" s="116"/>
      <c r="X20" s="116"/>
      <c r="Y20" s="116"/>
      <c r="Z20" s="118" t="str">
        <f t="shared" si="8"/>
        <v/>
      </c>
      <c r="AA20" s="119" t="str">
        <f t="shared" si="0"/>
        <v/>
      </c>
      <c r="AB20" s="117" t="str">
        <f t="shared" si="5"/>
        <v/>
      </c>
      <c r="AC20" s="119" t="str">
        <f t="shared" si="2"/>
        <v/>
      </c>
      <c r="AD20" s="117" t="str">
        <f t="shared" si="9"/>
        <v/>
      </c>
      <c r="AE20" s="120" t="str">
        <f t="shared" si="10"/>
        <v/>
      </c>
      <c r="AF20" s="116"/>
      <c r="AG20" s="121"/>
      <c r="AH20" s="122"/>
      <c r="AI20" s="123"/>
      <c r="AJ20" s="123"/>
      <c r="AK20" s="121"/>
      <c r="AL20" s="122"/>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ht="108.75" customHeight="1" x14ac:dyDescent="0.3">
      <c r="A21" s="222">
        <v>3</v>
      </c>
      <c r="B21" s="228"/>
      <c r="C21" s="225" t="s">
        <v>238</v>
      </c>
      <c r="D21" s="223" t="s">
        <v>248</v>
      </c>
      <c r="E21" s="213" t="s">
        <v>249</v>
      </c>
      <c r="F21" s="213" t="s">
        <v>247</v>
      </c>
      <c r="G21" s="223" t="s">
        <v>252</v>
      </c>
      <c r="H21" s="214" t="s">
        <v>210</v>
      </c>
      <c r="I21" s="224">
        <v>50</v>
      </c>
      <c r="J21" s="220" t="str">
        <f>IF(I21&lt;=0,"",IF(I21&lt;=2,"Muy Baja",IF(I21&lt;=24,"Baja",IF(I21&lt;=500,"Media",IF(I21&lt;=5000,"Alta","Muy Alta")))))</f>
        <v>Media</v>
      </c>
      <c r="K21" s="219">
        <f>IF(J21="","",IF(J21="Muy Baja",0.2,IF(J21="Baja",0.4,IF(J21="Media",0.6,IF(J21="Alta",0.8,IF(J21="Muy Alta",1,))))))</f>
        <v>0.6</v>
      </c>
      <c r="L21" s="218" t="s">
        <v>143</v>
      </c>
      <c r="M21" s="219" t="str">
        <f>IF(NOT(ISERROR(MATCH(L21,'Tabla Impacto'!$B$221:$B$223,0))),'Tabla Impacto'!$F$223&amp;"Por favor no seleccionar los criterios de impacto(Afectación Económica o presupuestal y Pérdida Reputacional)",L21)</f>
        <v xml:space="preserve">     Entre 10 y 50 SMLMV </v>
      </c>
      <c r="N21" s="220" t="str">
        <f>IF(OR(M21='Tabla Impacto'!$C$11,M21='Tabla Impacto'!$D$11),"Leve",IF(OR(M21='Tabla Impacto'!$C$12,M21='Tabla Impacto'!$D$12),"Menor",IF(OR(M21='Tabla Impacto'!$C$13,M21='Tabla Impacto'!$D$13),"Moderado",IF(OR(M21='Tabla Impacto'!$C$14,M21='Tabla Impacto'!$D$14),"Mayor",IF(OR(M21='Tabla Impacto'!$C$15,M21='Tabla Impacto'!$D$15),"Catastrófico","")))))</f>
        <v>Menor</v>
      </c>
      <c r="O21" s="219">
        <f>IF(N21="","",IF(N21="Leve",0.2,IF(N21="Menor",0.4,IF(N21="Moderado",0.6,IF(N21="Mayor",0.8,IF(N21="Catastrófico",1,))))))</f>
        <v>0.4</v>
      </c>
      <c r="P21" s="221" t="str">
        <f>IF(OR(AND(J21="Muy Baja",N21="Leve"),AND(J21="Muy Baja",N21="Menor"),AND(J21="Baja",N21="Leve")),"Bajo",IF(OR(AND(J21="Muy baja",N21="Moderado"),AND(J21="Baja",N21="Menor"),AND(J21="Baja",N21="Moderado"),AND(J21="Media",N21="Leve"),AND(J21="Media",N21="Menor"),AND(J21="Media",N21="Moderado"),AND(J21="Alta",N21="Leve"),AND(J21="Alta",N21="Menor")),"Moderado",IF(OR(AND(J21="Muy Baja",N21="Mayor"),AND(J21="Baja",N21="Mayor"),AND(J21="Media",N21="Mayor"),AND(J21="Alta",N21="Moderado"),AND(J21="Alta",N21="Mayor"),AND(J21="Muy Alta",N21="Leve"),AND(J21="Muy Alta",N21="Menor"),AND(J21="Muy Alta",N21="Moderado"),AND(J21="Muy Alta",N21="Mayor")),"Alto",IF(OR(AND(J21="Muy Baja",N21="Catastrófico"),AND(J21="Baja",N21="Catastrófico"),AND(J21="Media",N21="Catastrófico"),AND(J21="Alta",N21="Catastrófico"),AND(J21="Muy Alta",N21="Catastrófico")),"Extremo",""))))</f>
        <v>Moderado</v>
      </c>
      <c r="Q21" s="113">
        <v>1</v>
      </c>
      <c r="R21" s="114" t="s">
        <v>254</v>
      </c>
      <c r="S21" s="115" t="str">
        <f>IF(OR(T21="Preventivo",T21="Detectivo"),"Probabilidad",IF(T21="Correctivo","Impacto",""))</f>
        <v>Probabilidad</v>
      </c>
      <c r="T21" s="116" t="s">
        <v>14</v>
      </c>
      <c r="U21" s="116" t="s">
        <v>8</v>
      </c>
      <c r="V21" s="117" t="str">
        <f>IF(AND(T21="Preventivo",U21="Automático"),"50%",IF(AND(T21="Preventivo",U21="Manual"),"40%",IF(AND(T21="Detectivo",U21="Automático"),"40%",IF(AND(T21="Detectivo",U21="Manual"),"30%",IF(AND(T21="Correctivo",U21="Automático"),"35%",IF(AND(T21="Correctivo",U21="Manual"),"25%",""))))))</f>
        <v>30%</v>
      </c>
      <c r="W21" s="116" t="s">
        <v>18</v>
      </c>
      <c r="X21" s="116" t="s">
        <v>21</v>
      </c>
      <c r="Y21" s="116" t="s">
        <v>115</v>
      </c>
      <c r="Z21" s="118">
        <f>IFERROR(IF(S21="Probabilidad",(K21-(+K21*V21)),IF(S21="Impacto",K21,"")),"")</f>
        <v>0.42</v>
      </c>
      <c r="AA21" s="119" t="str">
        <f>IFERROR(IF(Z21="","",IF(Z21&lt;=0.2,"Muy Baja",IF(Z21&lt;=0.4,"Baja",IF(Z21&lt;=0.6,"Media",IF(Z21&lt;=0.8,"Alta","Muy Alta"))))),"")</f>
        <v>Media</v>
      </c>
      <c r="AB21" s="117">
        <f>+Z21</f>
        <v>0.42</v>
      </c>
      <c r="AC21" s="119" t="str">
        <f>IFERROR(IF(AD21="","",IF(AD21&lt;=0.2,"Leve",IF(AD21&lt;=0.4,"Menor",IF(AD21&lt;=0.6,"Moderado",IF(AD21&lt;=0.8,"Mayor","Catastrófico"))))),"")</f>
        <v>Menor</v>
      </c>
      <c r="AD21" s="117">
        <f>IFERROR(IF(S21="Impacto",(O21-(+O21*V21)),IF(S21="Probabilidad",O21,"")),"")</f>
        <v>0.4</v>
      </c>
      <c r="AE21" s="120" t="str">
        <f>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Moderado</v>
      </c>
      <c r="AF21" s="116" t="s">
        <v>130</v>
      </c>
      <c r="AG21" s="150" t="s">
        <v>222</v>
      </c>
      <c r="AH21" s="152" t="s">
        <v>225</v>
      </c>
      <c r="AI21" s="123">
        <v>44423</v>
      </c>
      <c r="AJ21" s="123">
        <v>44560</v>
      </c>
      <c r="AK21" s="121"/>
      <c r="AL21" s="122" t="s">
        <v>39</v>
      </c>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101.25" customHeight="1" x14ac:dyDescent="0.3">
      <c r="A22" s="222"/>
      <c r="B22" s="229"/>
      <c r="C22" s="226"/>
      <c r="D22" s="223"/>
      <c r="E22" s="213"/>
      <c r="F22" s="213"/>
      <c r="G22" s="223"/>
      <c r="H22" s="215"/>
      <c r="I22" s="224"/>
      <c r="J22" s="220"/>
      <c r="K22" s="219"/>
      <c r="L22" s="218"/>
      <c r="M22" s="219">
        <f ca="1">IF(NOT(ISERROR(MATCH(L22,_xlfn.ANCHORARRAY(E39),0))),K41&amp;"Por favor no seleccionar los criterios de impacto",L22)</f>
        <v>0</v>
      </c>
      <c r="N22" s="220"/>
      <c r="O22" s="219"/>
      <c r="P22" s="221"/>
      <c r="Q22" s="113">
        <v>2</v>
      </c>
      <c r="R22" s="114" t="s">
        <v>255</v>
      </c>
      <c r="S22" s="115" t="str">
        <f>IF(OR(T22="Preventivo",T22="Detectivo"),"Probabilidad",IF(T22="Correctivo","Impacto",""))</f>
        <v>Probabilidad</v>
      </c>
      <c r="T22" s="116" t="s">
        <v>13</v>
      </c>
      <c r="U22" s="116" t="s">
        <v>8</v>
      </c>
      <c r="V22" s="117" t="str">
        <f t="shared" ref="V22:V26" si="11">IF(AND(T22="Preventivo",U22="Automático"),"50%",IF(AND(T22="Preventivo",U22="Manual"),"40%",IF(AND(T22="Detectivo",U22="Automático"),"40%",IF(AND(T22="Detectivo",U22="Manual"),"30%",IF(AND(T22="Correctivo",U22="Automático"),"35%",IF(AND(T22="Correctivo",U22="Manual"),"25%",""))))))</f>
        <v>40%</v>
      </c>
      <c r="W22" s="116" t="s">
        <v>19</v>
      </c>
      <c r="X22" s="116" t="s">
        <v>21</v>
      </c>
      <c r="Y22" s="116" t="s">
        <v>115</v>
      </c>
      <c r="Z22" s="127">
        <f>IFERROR(IF(AND(S21="Probabilidad",S22="Probabilidad"),(AB21-(+AB21*V22)),IF(S22="Probabilidad",(K21-(+K21*V22)),IF(S22="Impacto",AB21,""))),"")</f>
        <v>0.252</v>
      </c>
      <c r="AA22" s="119" t="str">
        <f t="shared" si="0"/>
        <v>Baja</v>
      </c>
      <c r="AB22" s="117">
        <f t="shared" ref="AB22:AB26" si="12">+Z22</f>
        <v>0.252</v>
      </c>
      <c r="AC22" s="119" t="str">
        <f t="shared" si="2"/>
        <v>Menor</v>
      </c>
      <c r="AD22" s="117">
        <f>IFERROR(IF(AND(S21="Impacto",S22="Impacto"),(AD15-(+AD15*V22)),IF(S22="Impacto",($O$21-(+$O$21*V22)),IF(S22="Probabilidad",AD15,""))),"")</f>
        <v>0.4</v>
      </c>
      <c r="AE22" s="120" t="str">
        <f t="shared" ref="AE22:AE23" si="13">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Moderado</v>
      </c>
      <c r="AF22" s="116" t="s">
        <v>130</v>
      </c>
      <c r="AG22" s="150" t="s">
        <v>223</v>
      </c>
      <c r="AH22" s="152" t="s">
        <v>224</v>
      </c>
      <c r="AI22" s="123">
        <v>44423</v>
      </c>
      <c r="AJ22" s="123">
        <v>44560</v>
      </c>
      <c r="AK22" s="121"/>
      <c r="AL22" s="122" t="s">
        <v>40</v>
      </c>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57" customHeight="1" x14ac:dyDescent="0.3">
      <c r="A23" s="222"/>
      <c r="B23" s="229"/>
      <c r="C23" s="226"/>
      <c r="D23" s="223"/>
      <c r="E23" s="213"/>
      <c r="F23" s="213"/>
      <c r="G23" s="223"/>
      <c r="H23" s="215"/>
      <c r="I23" s="224"/>
      <c r="J23" s="220"/>
      <c r="K23" s="219"/>
      <c r="L23" s="218"/>
      <c r="M23" s="219">
        <f ca="1">IF(NOT(ISERROR(MATCH(L23,_xlfn.ANCHORARRAY(E40),0))),K42&amp;"Por favor no seleccionar los criterios de impacto",L23)</f>
        <v>0</v>
      </c>
      <c r="N23" s="220"/>
      <c r="O23" s="219"/>
      <c r="P23" s="221"/>
      <c r="Q23" s="113">
        <v>3</v>
      </c>
      <c r="R23" s="126"/>
      <c r="S23" s="115" t="str">
        <f>IF(OR(T23="Preventivo",T23="Detectivo"),"Probabilidad",IF(T23="Correctivo","Impacto",""))</f>
        <v/>
      </c>
      <c r="T23" s="116"/>
      <c r="U23" s="116"/>
      <c r="V23" s="117" t="str">
        <f t="shared" si="11"/>
        <v/>
      </c>
      <c r="W23" s="116"/>
      <c r="X23" s="116"/>
      <c r="Y23" s="116"/>
      <c r="Z23" s="118" t="str">
        <f>IFERROR(IF(AND(S22="Probabilidad",S23="Probabilidad"),(AB22-(+AB22*V23)),IF(AND(S22="Impacto",S23="Probabilidad"),(AB21-(+AB21*V23)),IF(S23="Impacto",AB22,""))),"")</f>
        <v/>
      </c>
      <c r="AA23" s="119" t="str">
        <f t="shared" si="0"/>
        <v/>
      </c>
      <c r="AB23" s="117" t="str">
        <f t="shared" si="12"/>
        <v/>
      </c>
      <c r="AC23" s="119" t="str">
        <f t="shared" si="2"/>
        <v/>
      </c>
      <c r="AD23" s="117" t="str">
        <f>IFERROR(IF(AND(S22="Impacto",S23="Impacto"),(AD22-(+AD22*V23)),IF(AND(S22="Probabilidad",S23="Impacto"),(AD21-(+AD21*V23)),IF(S23="Probabilidad",AD22,""))),"")</f>
        <v/>
      </c>
      <c r="AE23" s="120" t="str">
        <f t="shared" si="13"/>
        <v/>
      </c>
      <c r="AF23" s="116"/>
      <c r="AG23" s="150" t="s">
        <v>226</v>
      </c>
      <c r="AH23" s="152" t="s">
        <v>224</v>
      </c>
      <c r="AI23" s="123">
        <v>44423</v>
      </c>
      <c r="AJ23" s="123">
        <v>44560</v>
      </c>
      <c r="AK23" s="121"/>
      <c r="AL23" s="159" t="s">
        <v>39</v>
      </c>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22"/>
      <c r="B24" s="229"/>
      <c r="C24" s="226"/>
      <c r="D24" s="223"/>
      <c r="E24" s="213"/>
      <c r="F24" s="213"/>
      <c r="G24" s="223"/>
      <c r="H24" s="215"/>
      <c r="I24" s="224"/>
      <c r="J24" s="220"/>
      <c r="K24" s="219"/>
      <c r="L24" s="218"/>
      <c r="M24" s="219">
        <f ca="1">IF(NOT(ISERROR(MATCH(L24,_xlfn.ANCHORARRAY(E41),0))),K43&amp;"Por favor no seleccionar los criterios de impacto",L24)</f>
        <v>0</v>
      </c>
      <c r="N24" s="220"/>
      <c r="O24" s="219"/>
      <c r="P24" s="221"/>
      <c r="Q24" s="113">
        <v>4</v>
      </c>
      <c r="R24" s="114"/>
      <c r="S24" s="115" t="str">
        <f t="shared" ref="S24:S26" si="14">IF(OR(T24="Preventivo",T24="Detectivo"),"Probabilidad",IF(T24="Correctivo","Impacto",""))</f>
        <v/>
      </c>
      <c r="T24" s="116"/>
      <c r="U24" s="116"/>
      <c r="V24" s="117" t="str">
        <f t="shared" si="11"/>
        <v/>
      </c>
      <c r="W24" s="116"/>
      <c r="X24" s="116"/>
      <c r="Y24" s="116"/>
      <c r="Z24" s="118" t="str">
        <f t="shared" ref="Z24:Z26" si="15">IFERROR(IF(AND(S23="Probabilidad",S24="Probabilidad"),(AB23-(+AB23*V24)),IF(AND(S23="Impacto",S24="Probabilidad"),(AB22-(+AB22*V24)),IF(S24="Impacto",AB23,""))),"")</f>
        <v/>
      </c>
      <c r="AA24" s="119" t="str">
        <f t="shared" si="0"/>
        <v/>
      </c>
      <c r="AB24" s="117" t="str">
        <f t="shared" si="12"/>
        <v/>
      </c>
      <c r="AC24" s="119" t="str">
        <f t="shared" si="2"/>
        <v/>
      </c>
      <c r="AD24" s="117" t="str">
        <f t="shared" ref="AD24:AD26" si="16">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21"/>
      <c r="AH24" s="122"/>
      <c r="AI24" s="123"/>
      <c r="AJ24" s="123"/>
      <c r="AK24" s="121"/>
      <c r="AL24" s="122"/>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14.45" customHeight="1" x14ac:dyDescent="0.3">
      <c r="A25" s="222"/>
      <c r="B25" s="229"/>
      <c r="C25" s="226"/>
      <c r="D25" s="223"/>
      <c r="E25" s="213"/>
      <c r="F25" s="213"/>
      <c r="G25" s="223"/>
      <c r="H25" s="215"/>
      <c r="I25" s="224"/>
      <c r="J25" s="220"/>
      <c r="K25" s="219"/>
      <c r="L25" s="218"/>
      <c r="M25" s="219">
        <f ca="1">IF(NOT(ISERROR(MATCH(L25,_xlfn.ANCHORARRAY(E42),0))),K44&amp;"Por favor no seleccionar los criterios de impacto",L25)</f>
        <v>0</v>
      </c>
      <c r="N25" s="220"/>
      <c r="O25" s="219"/>
      <c r="P25" s="221"/>
      <c r="Q25" s="113">
        <v>5</v>
      </c>
      <c r="R25" s="114"/>
      <c r="S25" s="115" t="str">
        <f t="shared" si="14"/>
        <v/>
      </c>
      <c r="T25" s="116"/>
      <c r="U25" s="116"/>
      <c r="V25" s="117" t="str">
        <f t="shared" si="11"/>
        <v/>
      </c>
      <c r="W25" s="116"/>
      <c r="X25" s="116"/>
      <c r="Y25" s="116"/>
      <c r="Z25" s="118" t="str">
        <f t="shared" si="15"/>
        <v/>
      </c>
      <c r="AA25" s="119" t="str">
        <f t="shared" si="0"/>
        <v/>
      </c>
      <c r="AB25" s="117" t="str">
        <f t="shared" si="12"/>
        <v/>
      </c>
      <c r="AC25" s="119" t="str">
        <f t="shared" si="2"/>
        <v/>
      </c>
      <c r="AD25" s="117" t="str">
        <f t="shared" si="16"/>
        <v/>
      </c>
      <c r="AE25" s="120" t="str">
        <f t="shared" ref="AE25:AE26" si="17">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21"/>
      <c r="AH25" s="122"/>
      <c r="AI25" s="123"/>
      <c r="AJ25" s="123"/>
      <c r="AK25" s="121"/>
      <c r="AL25" s="122"/>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4.45" customHeight="1" x14ac:dyDescent="0.3">
      <c r="A26" s="222"/>
      <c r="B26" s="230"/>
      <c r="C26" s="227"/>
      <c r="D26" s="223"/>
      <c r="E26" s="213"/>
      <c r="F26" s="213"/>
      <c r="G26" s="223"/>
      <c r="H26" s="216"/>
      <c r="I26" s="224"/>
      <c r="J26" s="220"/>
      <c r="K26" s="219"/>
      <c r="L26" s="218"/>
      <c r="M26" s="219">
        <f ca="1">IF(NOT(ISERROR(MATCH(L26,_xlfn.ANCHORARRAY(E43),0))),K45&amp;"Por favor no seleccionar los criterios de impacto",L26)</f>
        <v>0</v>
      </c>
      <c r="N26" s="220"/>
      <c r="O26" s="219"/>
      <c r="P26" s="221"/>
      <c r="Q26" s="113">
        <v>6</v>
      </c>
      <c r="R26" s="114"/>
      <c r="S26" s="115" t="str">
        <f t="shared" si="14"/>
        <v/>
      </c>
      <c r="T26" s="116"/>
      <c r="U26" s="116"/>
      <c r="V26" s="117" t="str">
        <f t="shared" si="11"/>
        <v/>
      </c>
      <c r="W26" s="116"/>
      <c r="X26" s="116"/>
      <c r="Y26" s="116"/>
      <c r="Z26" s="118" t="str">
        <f t="shared" si="15"/>
        <v/>
      </c>
      <c r="AA26" s="119" t="str">
        <f t="shared" si="0"/>
        <v/>
      </c>
      <c r="AB26" s="117" t="str">
        <f t="shared" si="12"/>
        <v/>
      </c>
      <c r="AC26" s="119" t="str">
        <f t="shared" si="2"/>
        <v/>
      </c>
      <c r="AD26" s="117" t="str">
        <f t="shared" si="16"/>
        <v/>
      </c>
      <c r="AE26" s="120" t="str">
        <f t="shared" si="17"/>
        <v/>
      </c>
      <c r="AF26" s="116"/>
      <c r="AG26" s="121"/>
      <c r="AH26" s="122"/>
      <c r="AI26" s="123"/>
      <c r="AJ26" s="123"/>
      <c r="AK26" s="121"/>
      <c r="AL26" s="122"/>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ht="59.25" customHeight="1" x14ac:dyDescent="0.3">
      <c r="A27" s="222">
        <v>4</v>
      </c>
      <c r="B27" s="228"/>
      <c r="C27" s="225" t="s">
        <v>238</v>
      </c>
      <c r="D27" s="223" t="s">
        <v>251</v>
      </c>
      <c r="E27" s="213" t="s">
        <v>227</v>
      </c>
      <c r="F27" s="213" t="s">
        <v>227</v>
      </c>
      <c r="G27" s="223" t="s">
        <v>228</v>
      </c>
      <c r="H27" s="214" t="s">
        <v>212</v>
      </c>
      <c r="I27" s="224">
        <v>100</v>
      </c>
      <c r="J27" s="220" t="str">
        <f>IF(I27&lt;=0,"",IF(I27&lt;=2,"Muy Baja",IF(I27&lt;=24,"Baja",IF(I27&lt;=500,"Media",IF(I27&lt;=5000,"Alta","Muy Alta")))))</f>
        <v>Media</v>
      </c>
      <c r="K27" s="219">
        <f>IF(J27="","",IF(J27="Muy Baja",0.2,IF(J27="Baja",0.4,IF(J27="Media",0.6,IF(J27="Alta",0.8,IF(J27="Muy Alta",1,))))))</f>
        <v>0.6</v>
      </c>
      <c r="L27" s="218" t="s">
        <v>143</v>
      </c>
      <c r="M27" s="219" t="str">
        <f>IF(NOT(ISERROR(MATCH(L27,'Tabla Impacto'!$B$221:$B$223,0))),'Tabla Impacto'!$F$223&amp;"Por favor no seleccionar los criterios de impacto(Afectación Económica o presupuestal y Pérdida Reputacional)",L27)</f>
        <v xml:space="preserve">     Entre 10 y 50 SMLMV </v>
      </c>
      <c r="N27" s="220" t="str">
        <f>IF(OR(M27='Tabla Impacto'!$C$11,M27='Tabla Impacto'!$D$11),"Leve",IF(OR(M27='Tabla Impacto'!$C$12,M27='Tabla Impacto'!$D$12),"Menor",IF(OR(M27='Tabla Impacto'!$C$13,M27='Tabla Impacto'!$D$13),"Moderado",IF(OR(M27='Tabla Impacto'!$C$14,M27='Tabla Impacto'!$D$14),"Mayor",IF(OR(M27='Tabla Impacto'!$C$15,M27='Tabla Impacto'!$D$15),"Catastrófico","")))))</f>
        <v>Menor</v>
      </c>
      <c r="O27" s="219">
        <f>IF(N27="","",IF(N27="Leve",0.2,IF(N27="Menor",0.4,IF(N27="Moderado",0.6,IF(N27="Mayor",0.8,IF(N27="Catastrófico",1,))))))</f>
        <v>0.4</v>
      </c>
      <c r="P27" s="221" t="str">
        <f>IF(OR(AND(J27="Muy Baja",N27="Leve"),AND(J27="Muy Baja",N27="Menor"),AND(J27="Baja",N27="Leve")),"Bajo",IF(OR(AND(J27="Muy baja",N27="Moderado"),AND(J27="Baja",N27="Menor"),AND(J27="Baja",N27="Moderado"),AND(J27="Media",N27="Leve"),AND(J27="Media",N27="Menor"),AND(J27="Media",N27="Moderado"),AND(J27="Alta",N27="Leve"),AND(J27="Alta",N27="Menor")),"Moderado",IF(OR(AND(J27="Muy Baja",N27="Mayor"),AND(J27="Baja",N27="Mayor"),AND(J27="Media",N27="Mayor"),AND(J27="Alta",N27="Moderado"),AND(J27="Alta",N27="Mayor"),AND(J27="Muy Alta",N27="Leve"),AND(J27="Muy Alta",N27="Menor"),AND(J27="Muy Alta",N27="Moderado"),AND(J27="Muy Alta",N27="Mayor")),"Alto",IF(OR(AND(J27="Muy Baja",N27="Catastrófico"),AND(J27="Baja",N27="Catastrófico"),AND(J27="Media",N27="Catastrófico"),AND(J27="Alta",N27="Catastrófico"),AND(J27="Muy Alta",N27="Catastrófico")),"Extremo",""))))</f>
        <v>Moderado</v>
      </c>
      <c r="Q27" s="113">
        <v>1</v>
      </c>
      <c r="R27" s="114" t="s">
        <v>229</v>
      </c>
      <c r="S27" s="115" t="str">
        <f>IF(OR(T27="Preventivo",T27="Detectivo"),"Probabilidad",IF(T27="Correctivo","Impacto",""))</f>
        <v>Probabilidad</v>
      </c>
      <c r="T27" s="116" t="s">
        <v>13</v>
      </c>
      <c r="U27" s="116" t="s">
        <v>8</v>
      </c>
      <c r="V27" s="117" t="str">
        <f>IF(AND(T27="Preventivo",U27="Automático"),"50%",IF(AND(T27="Preventivo",U27="Manual"),"40%",IF(AND(T27="Detectivo",U27="Automático"),"40%",IF(AND(T27="Detectivo",U27="Manual"),"30%",IF(AND(T27="Correctivo",U27="Automático"),"35%",IF(AND(T27="Correctivo",U27="Manual"),"25%",""))))))</f>
        <v>40%</v>
      </c>
      <c r="W27" s="116" t="s">
        <v>18</v>
      </c>
      <c r="X27" s="116" t="s">
        <v>22</v>
      </c>
      <c r="Y27" s="116" t="s">
        <v>115</v>
      </c>
      <c r="Z27" s="118">
        <f>IFERROR(IF(S27="Probabilidad",(K27-(+K27*V27)),IF(S27="Impacto",K27,"")),"")</f>
        <v>0.36</v>
      </c>
      <c r="AA27" s="119" t="str">
        <f>IFERROR(IF(Z27="","",IF(Z27&lt;=0.2,"Muy Baja",IF(Z27&lt;=0.4,"Baja",IF(Z27&lt;=0.6,"Media",IF(Z27&lt;=0.8,"Alta","Muy Alta"))))),"")</f>
        <v>Baja</v>
      </c>
      <c r="AB27" s="117">
        <f>+Z27</f>
        <v>0.36</v>
      </c>
      <c r="AC27" s="119" t="str">
        <f>IFERROR(IF(AD27="","",IF(AD27&lt;=0.2,"Leve",IF(AD27&lt;=0.4,"Menor",IF(AD27&lt;=0.6,"Moderado",IF(AD27&lt;=0.8,"Mayor","Catastrófico"))))),"")</f>
        <v>Menor</v>
      </c>
      <c r="AD27" s="117">
        <f>IFERROR(IF(S27="Impacto",(O27-(+O27*V27)),IF(S27="Probabilidad",O27,"")),"")</f>
        <v>0.4</v>
      </c>
      <c r="AE27" s="120"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Moderado</v>
      </c>
      <c r="AF27" s="116" t="s">
        <v>130</v>
      </c>
      <c r="AG27" s="150" t="s">
        <v>234</v>
      </c>
      <c r="AH27" s="152" t="s">
        <v>231</v>
      </c>
      <c r="AI27" s="123">
        <v>44423</v>
      </c>
      <c r="AJ27" s="123">
        <v>44560</v>
      </c>
      <c r="AK27" s="121"/>
      <c r="AL27" s="122" t="s">
        <v>40</v>
      </c>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41.25" customHeight="1" x14ac:dyDescent="0.3">
      <c r="A28" s="222"/>
      <c r="B28" s="229"/>
      <c r="C28" s="226"/>
      <c r="D28" s="223"/>
      <c r="E28" s="213"/>
      <c r="F28" s="213"/>
      <c r="G28" s="223"/>
      <c r="H28" s="215"/>
      <c r="I28" s="224"/>
      <c r="J28" s="220"/>
      <c r="K28" s="219"/>
      <c r="L28" s="218"/>
      <c r="M28" s="219">
        <f ca="1">IF(NOT(ISERROR(MATCH(L28,_xlfn.ANCHORARRAY(E45),0))),K47&amp;"Por favor no seleccionar los criterios de impacto",L28)</f>
        <v>0</v>
      </c>
      <c r="N28" s="220"/>
      <c r="O28" s="219"/>
      <c r="P28" s="221"/>
      <c r="Q28" s="113">
        <v>2</v>
      </c>
      <c r="R28" s="114" t="s">
        <v>230</v>
      </c>
      <c r="S28" s="115" t="str">
        <f>IF(OR(T28="Preventivo",T28="Detectivo"),"Probabilidad",IF(T28="Correctivo","Impacto",""))</f>
        <v>Impacto</v>
      </c>
      <c r="T28" s="116" t="s">
        <v>15</v>
      </c>
      <c r="U28" s="116" t="s">
        <v>8</v>
      </c>
      <c r="V28" s="117" t="str">
        <f t="shared" ref="V28:V32" si="18">IF(AND(T28="Preventivo",U28="Automático"),"50%",IF(AND(T28="Preventivo",U28="Manual"),"40%",IF(AND(T28="Detectivo",U28="Automático"),"40%",IF(AND(T28="Detectivo",U28="Manual"),"30%",IF(AND(T28="Correctivo",U28="Automático"),"35%",IF(AND(T28="Correctivo",U28="Manual"),"25%",""))))))</f>
        <v>25%</v>
      </c>
      <c r="W28" s="116" t="s">
        <v>18</v>
      </c>
      <c r="X28" s="116" t="s">
        <v>22</v>
      </c>
      <c r="Y28" s="116" t="s">
        <v>115</v>
      </c>
      <c r="Z28" s="118">
        <f>IFERROR(IF(AND(S27="Probabilidad",S28="Probabilidad"),(AB27-(+AB27*V28)),IF(S28="Probabilidad",(K27-(+K27*V28)),IF(S28="Impacto",AB27,""))),"")</f>
        <v>0.36</v>
      </c>
      <c r="AA28" s="119" t="str">
        <f t="shared" si="0"/>
        <v>Baja</v>
      </c>
      <c r="AB28" s="117">
        <f t="shared" ref="AB28:AB32" si="19">+Z28</f>
        <v>0.36</v>
      </c>
      <c r="AC28" s="119" t="str">
        <f t="shared" si="2"/>
        <v>Menor</v>
      </c>
      <c r="AD28" s="117">
        <f>IFERROR(IF(AND(S27="Impacto",S28="Impacto"),(AD21-(+AD21*V28)),IF(S28="Impacto",($O$27-(+$O$27*V28)),IF(S28="Probabilidad",AD21,""))),"")</f>
        <v>0.30000000000000004</v>
      </c>
      <c r="AE28" s="120" t="str">
        <f t="shared" ref="AE28:AE29" si="20">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Moderado</v>
      </c>
      <c r="AF28" s="116" t="s">
        <v>130</v>
      </c>
      <c r="AG28" s="150" t="s">
        <v>232</v>
      </c>
      <c r="AH28" s="152" t="s">
        <v>214</v>
      </c>
      <c r="AI28" s="123">
        <v>44423</v>
      </c>
      <c r="AJ28" s="123">
        <v>44560</v>
      </c>
      <c r="AK28" s="121"/>
      <c r="AL28" s="122" t="s">
        <v>40</v>
      </c>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58.5" customHeight="1" x14ac:dyDescent="0.3">
      <c r="A29" s="222"/>
      <c r="B29" s="229"/>
      <c r="C29" s="226"/>
      <c r="D29" s="223"/>
      <c r="E29" s="213"/>
      <c r="F29" s="213"/>
      <c r="G29" s="223"/>
      <c r="H29" s="215"/>
      <c r="I29" s="224"/>
      <c r="J29" s="220"/>
      <c r="K29" s="219"/>
      <c r="L29" s="218"/>
      <c r="M29" s="219">
        <f ca="1">IF(NOT(ISERROR(MATCH(L29,_xlfn.ANCHORARRAY(E46),0))),K48&amp;"Por favor no seleccionar los criterios de impacto",L29)</f>
        <v>0</v>
      </c>
      <c r="N29" s="220"/>
      <c r="O29" s="219"/>
      <c r="P29" s="221"/>
      <c r="Q29" s="113">
        <v>3</v>
      </c>
      <c r="R29" s="126"/>
      <c r="S29" s="115" t="str">
        <f>IF(OR(T29="Preventivo",T29="Detectivo"),"Probabilidad",IF(T29="Correctivo","Impacto",""))</f>
        <v/>
      </c>
      <c r="T29" s="116"/>
      <c r="U29" s="116"/>
      <c r="V29" s="117" t="str">
        <f t="shared" si="18"/>
        <v/>
      </c>
      <c r="W29" s="116"/>
      <c r="X29" s="116"/>
      <c r="Y29" s="116"/>
      <c r="Z29" s="118" t="str">
        <f>IFERROR(IF(AND(S28="Probabilidad",S29="Probabilidad"),(AB28-(+AB28*V29)),IF(AND(S28="Impacto",S29="Probabilidad"),(AB27-(+AB27*V29)),IF(S29="Impacto",AB28,""))),"")</f>
        <v/>
      </c>
      <c r="AA29" s="119" t="str">
        <f t="shared" si="0"/>
        <v/>
      </c>
      <c r="AB29" s="117" t="str">
        <f t="shared" si="19"/>
        <v/>
      </c>
      <c r="AC29" s="119" t="str">
        <f t="shared" si="2"/>
        <v/>
      </c>
      <c r="AD29" s="117" t="str">
        <f>IFERROR(IF(AND(S28="Impacto",S29="Impacto"),(AD28-(+AD28*V29)),IF(AND(S28="Probabilidad",S29="Impacto"),(AD27-(+AD27*V29)),IF(S29="Probabilidad",AD28,""))),"")</f>
        <v/>
      </c>
      <c r="AE29" s="120" t="str">
        <f t="shared" si="20"/>
        <v/>
      </c>
      <c r="AF29" s="116"/>
      <c r="AG29" s="150" t="s">
        <v>233</v>
      </c>
      <c r="AH29" s="153" t="s">
        <v>231</v>
      </c>
      <c r="AI29" s="123">
        <v>44423</v>
      </c>
      <c r="AJ29" s="123">
        <v>44560</v>
      </c>
      <c r="AK29" s="121"/>
      <c r="AL29" s="159" t="s">
        <v>40</v>
      </c>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22"/>
      <c r="B30" s="229"/>
      <c r="C30" s="226"/>
      <c r="D30" s="223"/>
      <c r="E30" s="213"/>
      <c r="F30" s="213"/>
      <c r="G30" s="223"/>
      <c r="H30" s="215"/>
      <c r="I30" s="224"/>
      <c r="J30" s="220"/>
      <c r="K30" s="219"/>
      <c r="L30" s="218"/>
      <c r="M30" s="219">
        <f ca="1">IF(NOT(ISERROR(MATCH(L30,_xlfn.ANCHORARRAY(E47),0))),K49&amp;"Por favor no seleccionar los criterios de impacto",L30)</f>
        <v>0</v>
      </c>
      <c r="N30" s="220"/>
      <c r="O30" s="219"/>
      <c r="P30" s="221"/>
      <c r="Q30" s="113">
        <v>4</v>
      </c>
      <c r="R30" s="114"/>
      <c r="S30" s="115" t="str">
        <f t="shared" ref="S30:S32" si="21">IF(OR(T30="Preventivo",T30="Detectivo"),"Probabilidad",IF(T30="Correctivo","Impacto",""))</f>
        <v/>
      </c>
      <c r="T30" s="116"/>
      <c r="U30" s="116"/>
      <c r="V30" s="117" t="str">
        <f t="shared" si="18"/>
        <v/>
      </c>
      <c r="W30" s="116"/>
      <c r="X30" s="116"/>
      <c r="Y30" s="116"/>
      <c r="Z30" s="118" t="str">
        <f t="shared" ref="Z30:Z32" si="22">IFERROR(IF(AND(S29="Probabilidad",S30="Probabilidad"),(AB29-(+AB29*V30)),IF(AND(S29="Impacto",S30="Probabilidad"),(AB28-(+AB28*V30)),IF(S30="Impacto",AB29,""))),"")</f>
        <v/>
      </c>
      <c r="AA30" s="119" t="str">
        <f t="shared" si="0"/>
        <v/>
      </c>
      <c r="AB30" s="117" t="str">
        <f t="shared" si="19"/>
        <v/>
      </c>
      <c r="AC30" s="119" t="str">
        <f t="shared" si="2"/>
        <v/>
      </c>
      <c r="AD30" s="117" t="str">
        <f t="shared" ref="AD30:AD32" si="23">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21"/>
      <c r="AH30" s="122"/>
      <c r="AI30" s="123"/>
      <c r="AJ30" s="123"/>
      <c r="AK30" s="121"/>
      <c r="AL30" s="122"/>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14.45" customHeight="1" x14ac:dyDescent="0.3">
      <c r="A31" s="222"/>
      <c r="B31" s="229"/>
      <c r="C31" s="226"/>
      <c r="D31" s="223"/>
      <c r="E31" s="213"/>
      <c r="F31" s="213"/>
      <c r="G31" s="223"/>
      <c r="H31" s="215"/>
      <c r="I31" s="224"/>
      <c r="J31" s="220"/>
      <c r="K31" s="219"/>
      <c r="L31" s="218"/>
      <c r="M31" s="219">
        <f ca="1">IF(NOT(ISERROR(MATCH(L31,_xlfn.ANCHORARRAY(E48),0))),K50&amp;"Por favor no seleccionar los criterios de impacto",L31)</f>
        <v>0</v>
      </c>
      <c r="N31" s="220"/>
      <c r="O31" s="219"/>
      <c r="P31" s="221"/>
      <c r="Q31" s="113">
        <v>5</v>
      </c>
      <c r="R31" s="114"/>
      <c r="S31" s="115" t="str">
        <f t="shared" si="21"/>
        <v/>
      </c>
      <c r="T31" s="116"/>
      <c r="U31" s="116"/>
      <c r="V31" s="117" t="str">
        <f t="shared" si="18"/>
        <v/>
      </c>
      <c r="W31" s="116"/>
      <c r="X31" s="116"/>
      <c r="Y31" s="116"/>
      <c r="Z31" s="127" t="str">
        <f t="shared" si="22"/>
        <v/>
      </c>
      <c r="AA31" s="119" t="str">
        <f>IFERROR(IF(Z31="","",IF(Z31&lt;=0.2,"Muy Baja",IF(Z31&lt;=0.4,"Baja",IF(Z31&lt;=0.6,"Media",IF(Z31&lt;=0.8,"Alta","Muy Alta"))))),"")</f>
        <v/>
      </c>
      <c r="AB31" s="117" t="str">
        <f t="shared" si="19"/>
        <v/>
      </c>
      <c r="AC31" s="119" t="str">
        <f t="shared" si="2"/>
        <v/>
      </c>
      <c r="AD31" s="117" t="str">
        <f t="shared" si="23"/>
        <v/>
      </c>
      <c r="AE31" s="120" t="str">
        <f t="shared" ref="AE31:AE32" si="24">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21"/>
      <c r="AH31" s="122"/>
      <c r="AI31" s="123"/>
      <c r="AJ31" s="123"/>
      <c r="AK31" s="121"/>
      <c r="AL31" s="122"/>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58.5" customHeight="1" x14ac:dyDescent="0.3">
      <c r="A32" s="222"/>
      <c r="B32" s="230"/>
      <c r="C32" s="227"/>
      <c r="D32" s="223"/>
      <c r="E32" s="213"/>
      <c r="F32" s="213"/>
      <c r="G32" s="223"/>
      <c r="H32" s="216"/>
      <c r="I32" s="224"/>
      <c r="J32" s="220"/>
      <c r="K32" s="219"/>
      <c r="L32" s="218"/>
      <c r="M32" s="219">
        <f ca="1">IF(NOT(ISERROR(MATCH(L32,_xlfn.ANCHORARRAY(E49),0))),K51&amp;"Por favor no seleccionar los criterios de impacto",L32)</f>
        <v>0</v>
      </c>
      <c r="N32" s="220"/>
      <c r="O32" s="219"/>
      <c r="P32" s="221"/>
      <c r="Q32" s="113">
        <v>6</v>
      </c>
      <c r="R32" s="114"/>
      <c r="S32" s="115" t="str">
        <f t="shared" si="21"/>
        <v/>
      </c>
      <c r="T32" s="116"/>
      <c r="U32" s="116"/>
      <c r="V32" s="117" t="str">
        <f t="shared" si="18"/>
        <v/>
      </c>
      <c r="W32" s="116"/>
      <c r="X32" s="116"/>
      <c r="Y32" s="116"/>
      <c r="Z32" s="118" t="str">
        <f t="shared" si="22"/>
        <v/>
      </c>
      <c r="AA32" s="119" t="str">
        <f t="shared" si="0"/>
        <v/>
      </c>
      <c r="AB32" s="117" t="str">
        <f t="shared" si="19"/>
        <v/>
      </c>
      <c r="AC32" s="119" t="str">
        <f t="shared" si="2"/>
        <v/>
      </c>
      <c r="AD32" s="117" t="str">
        <f t="shared" si="23"/>
        <v/>
      </c>
      <c r="AE32" s="120" t="str">
        <f t="shared" si="24"/>
        <v/>
      </c>
      <c r="AF32" s="116"/>
      <c r="AG32" s="121"/>
      <c r="AH32" s="122"/>
      <c r="AI32" s="123"/>
      <c r="AJ32" s="123"/>
      <c r="AK32" s="121"/>
      <c r="AL32" s="122"/>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ht="59.25" customHeight="1" x14ac:dyDescent="0.3">
      <c r="A33" s="222">
        <v>5</v>
      </c>
      <c r="B33" s="228"/>
      <c r="C33" s="225" t="s">
        <v>238</v>
      </c>
      <c r="D33" s="223" t="s">
        <v>250</v>
      </c>
      <c r="E33" s="213" t="s">
        <v>253</v>
      </c>
      <c r="F33" s="213" t="s">
        <v>247</v>
      </c>
      <c r="G33" s="223" t="s">
        <v>252</v>
      </c>
      <c r="H33" s="214" t="s">
        <v>210</v>
      </c>
      <c r="I33" s="224"/>
      <c r="J33" s="220"/>
      <c r="K33" s="219"/>
      <c r="L33" s="218"/>
      <c r="M33" s="219"/>
      <c r="N33" s="220"/>
      <c r="O33" s="219"/>
      <c r="P33" s="221"/>
      <c r="Q33" s="151"/>
      <c r="R33" s="114"/>
      <c r="S33" s="115"/>
      <c r="T33" s="116"/>
      <c r="U33" s="116"/>
      <c r="V33" s="117"/>
      <c r="W33" s="116"/>
      <c r="X33" s="116"/>
      <c r="Y33" s="116"/>
      <c r="Z33" s="118"/>
      <c r="AA33" s="119"/>
      <c r="AB33" s="117"/>
      <c r="AC33" s="119"/>
      <c r="AD33" s="117"/>
      <c r="AE33" s="120"/>
      <c r="AF33" s="116"/>
      <c r="AG33" s="152"/>
      <c r="AH33" s="153"/>
      <c r="AI33" s="123"/>
      <c r="AJ33" s="123"/>
      <c r="AK33" s="152"/>
      <c r="AL33" s="153"/>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ht="41.25" customHeight="1" x14ac:dyDescent="0.3">
      <c r="A34" s="222"/>
      <c r="B34" s="229"/>
      <c r="C34" s="226"/>
      <c r="D34" s="223"/>
      <c r="E34" s="213"/>
      <c r="F34" s="213"/>
      <c r="G34" s="223"/>
      <c r="H34" s="215"/>
      <c r="I34" s="224"/>
      <c r="J34" s="220"/>
      <c r="K34" s="219"/>
      <c r="L34" s="218"/>
      <c r="M34" s="219"/>
      <c r="N34" s="220"/>
      <c r="O34" s="219"/>
      <c r="P34" s="221"/>
      <c r="Q34" s="151"/>
      <c r="R34" s="114"/>
      <c r="S34" s="115"/>
      <c r="T34" s="116"/>
      <c r="U34" s="116"/>
      <c r="V34" s="117"/>
      <c r="W34" s="116"/>
      <c r="X34" s="116"/>
      <c r="Y34" s="116"/>
      <c r="Z34" s="118"/>
      <c r="AA34" s="119"/>
      <c r="AB34" s="117"/>
      <c r="AC34" s="119"/>
      <c r="AD34" s="117"/>
      <c r="AE34" s="120"/>
      <c r="AF34" s="116"/>
      <c r="AG34" s="152"/>
      <c r="AH34" s="152"/>
      <c r="AI34" s="123"/>
      <c r="AJ34" s="123"/>
      <c r="AK34" s="152"/>
      <c r="AL34" s="153"/>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ht="58.5" customHeight="1" x14ac:dyDescent="0.3">
      <c r="A35" s="222"/>
      <c r="B35" s="229"/>
      <c r="C35" s="226"/>
      <c r="D35" s="223"/>
      <c r="E35" s="213"/>
      <c r="F35" s="213"/>
      <c r="G35" s="223"/>
      <c r="H35" s="215"/>
      <c r="I35" s="224"/>
      <c r="J35" s="220"/>
      <c r="K35" s="219"/>
      <c r="L35" s="218"/>
      <c r="M35" s="219"/>
      <c r="N35" s="220"/>
      <c r="O35" s="219"/>
      <c r="P35" s="221"/>
      <c r="Q35" s="151"/>
      <c r="R35" s="126"/>
      <c r="S35" s="115"/>
      <c r="T35" s="116"/>
      <c r="U35" s="116"/>
      <c r="V35" s="117"/>
      <c r="W35" s="116"/>
      <c r="X35" s="116"/>
      <c r="Y35" s="116"/>
      <c r="Z35" s="118"/>
      <c r="AA35" s="119"/>
      <c r="AB35" s="117"/>
      <c r="AC35" s="119"/>
      <c r="AD35" s="117"/>
      <c r="AE35" s="120"/>
      <c r="AF35" s="116"/>
      <c r="AG35" s="152"/>
      <c r="AH35" s="153"/>
      <c r="AI35" s="123"/>
      <c r="AJ35" s="123"/>
      <c r="AK35" s="152"/>
      <c r="AL35" s="153"/>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ht="14.45" customHeight="1" x14ac:dyDescent="0.3">
      <c r="A36" s="222"/>
      <c r="B36" s="229"/>
      <c r="C36" s="226"/>
      <c r="D36" s="223"/>
      <c r="E36" s="213"/>
      <c r="F36" s="213"/>
      <c r="G36" s="223"/>
      <c r="H36" s="215"/>
      <c r="I36" s="224"/>
      <c r="J36" s="220"/>
      <c r="K36" s="219"/>
      <c r="L36" s="218"/>
      <c r="M36" s="219"/>
      <c r="N36" s="220"/>
      <c r="O36" s="219"/>
      <c r="P36" s="221"/>
      <c r="Q36" s="151"/>
      <c r="R36" s="114"/>
      <c r="S36" s="115"/>
      <c r="T36" s="116"/>
      <c r="U36" s="116"/>
      <c r="V36" s="117"/>
      <c r="W36" s="116"/>
      <c r="X36" s="116"/>
      <c r="Y36" s="116"/>
      <c r="Z36" s="118"/>
      <c r="AA36" s="119"/>
      <c r="AB36" s="117"/>
      <c r="AC36" s="119"/>
      <c r="AD36" s="117"/>
      <c r="AE36" s="120"/>
      <c r="AF36" s="116"/>
      <c r="AG36" s="152"/>
      <c r="AH36" s="153"/>
      <c r="AI36" s="123"/>
      <c r="AJ36" s="123"/>
      <c r="AK36" s="152"/>
      <c r="AL36" s="153"/>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ht="14.45" customHeight="1" x14ac:dyDescent="0.3">
      <c r="A37" s="222"/>
      <c r="B37" s="229"/>
      <c r="C37" s="226"/>
      <c r="D37" s="223"/>
      <c r="E37" s="213"/>
      <c r="F37" s="213"/>
      <c r="G37" s="223"/>
      <c r="H37" s="215"/>
      <c r="I37" s="224"/>
      <c r="J37" s="220"/>
      <c r="K37" s="219"/>
      <c r="L37" s="218"/>
      <c r="M37" s="219"/>
      <c r="N37" s="220"/>
      <c r="O37" s="219"/>
      <c r="P37" s="221"/>
      <c r="Q37" s="151"/>
      <c r="R37" s="114"/>
      <c r="S37" s="115"/>
      <c r="T37" s="116"/>
      <c r="U37" s="116"/>
      <c r="V37" s="117"/>
      <c r="W37" s="116"/>
      <c r="X37" s="116"/>
      <c r="Y37" s="116"/>
      <c r="Z37" s="127"/>
      <c r="AA37" s="119"/>
      <c r="AB37" s="117"/>
      <c r="AC37" s="119"/>
      <c r="AD37" s="117"/>
      <c r="AE37" s="120"/>
      <c r="AF37" s="116"/>
      <c r="AG37" s="152"/>
      <c r="AH37" s="153"/>
      <c r="AI37" s="123"/>
      <c r="AJ37" s="123"/>
      <c r="AK37" s="152"/>
      <c r="AL37" s="153"/>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ht="58.5" customHeight="1" x14ac:dyDescent="0.3">
      <c r="A38" s="222"/>
      <c r="B38" s="230"/>
      <c r="C38" s="227"/>
      <c r="D38" s="223"/>
      <c r="E38" s="213"/>
      <c r="F38" s="213"/>
      <c r="G38" s="223"/>
      <c r="H38" s="216"/>
      <c r="I38" s="224"/>
      <c r="J38" s="220"/>
      <c r="K38" s="219"/>
      <c r="L38" s="218"/>
      <c r="M38" s="219"/>
      <c r="N38" s="220"/>
      <c r="O38" s="219"/>
      <c r="P38" s="221"/>
      <c r="Q38" s="151"/>
      <c r="R38" s="114"/>
      <c r="S38" s="115"/>
      <c r="T38" s="116"/>
      <c r="U38" s="116"/>
      <c r="V38" s="117"/>
      <c r="W38" s="116"/>
      <c r="X38" s="116"/>
      <c r="Y38" s="116"/>
      <c r="Z38" s="118"/>
      <c r="AA38" s="119"/>
      <c r="AB38" s="117"/>
      <c r="AC38" s="119"/>
      <c r="AD38" s="117"/>
      <c r="AE38" s="120"/>
      <c r="AF38" s="116"/>
      <c r="AG38" s="152"/>
      <c r="AH38" s="153"/>
      <c r="AI38" s="123"/>
      <c r="AJ38" s="123"/>
      <c r="AK38" s="152"/>
      <c r="AL38" s="153"/>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22">
        <v>5</v>
      </c>
      <c r="B39" s="139"/>
      <c r="C39" s="139"/>
      <c r="D39" s="223"/>
      <c r="E39" s="213"/>
      <c r="F39" s="141"/>
      <c r="G39" s="223"/>
      <c r="H39" s="140"/>
      <c r="I39" s="224"/>
      <c r="J39" s="220" t="str">
        <f>IF(I39&lt;=0,"",IF(I39&lt;=2,"Muy Baja",IF(I39&lt;=24,"Baja",IF(I39&lt;=500,"Media",IF(I39&lt;=5000,"Alta","Muy Alta")))))</f>
        <v/>
      </c>
      <c r="K39" s="219" t="str">
        <f>IF(J39="","",IF(J39="Muy Baja",0.2,IF(J39="Baja",0.4,IF(J39="Media",0.6,IF(J39="Alta",0.8,IF(J39="Muy Alta",1,))))))</f>
        <v/>
      </c>
      <c r="L39" s="218"/>
      <c r="M39" s="219">
        <f>IF(NOT(ISERROR(MATCH(L39,'Tabla Impacto'!$B$221:$B$223,0))),'Tabla Impacto'!$F$223&amp;"Por favor no seleccionar los criterios de impacto(Afectación Económica o presupuestal y Pérdida Reputacional)",L39)</f>
        <v>0</v>
      </c>
      <c r="N39" s="220" t="str">
        <f>IF(OR(M39='Tabla Impacto'!$C$11,M39='Tabla Impacto'!$D$11),"Leve",IF(OR(M39='Tabla Impacto'!$C$12,M39='Tabla Impacto'!$D$12),"Menor",IF(OR(M39='Tabla Impacto'!$C$13,M39='Tabla Impacto'!$D$13),"Moderado",IF(OR(M39='Tabla Impacto'!$C$14,M39='Tabla Impacto'!$D$14),"Mayor",IF(OR(M39='Tabla Impacto'!$C$15,M39='Tabla Impacto'!$D$15),"Catastrófico","")))))</f>
        <v/>
      </c>
      <c r="O39" s="219" t="str">
        <f>IF(N39="","",IF(N39="Leve",0.2,IF(N39="Menor",0.4,IF(N39="Moderado",0.6,IF(N39="Mayor",0.8,IF(N39="Catastrófico",1,))))))</f>
        <v/>
      </c>
      <c r="P39" s="221" t="str">
        <f>IF(OR(AND(J39="Muy Baja",N39="Leve"),AND(J39="Muy Baja",N39="Menor"),AND(J39="Baja",N39="Leve")),"Bajo",IF(OR(AND(J39="Muy baja",N39="Moderado"),AND(J39="Baja",N39="Menor"),AND(J39="Baja",N39="Moderado"),AND(J39="Media",N39="Leve"),AND(J39="Media",N39="Menor"),AND(J39="Media",N39="Moderado"),AND(J39="Alta",N39="Leve"),AND(J39="Alta",N39="Menor")),"Moderado",IF(OR(AND(J39="Muy Baja",N39="Mayor"),AND(J39="Baja",N39="Mayor"),AND(J39="Media",N39="Mayor"),AND(J39="Alta",N39="Moderado"),AND(J39="Alta",N39="Mayor"),AND(J39="Muy Alta",N39="Leve"),AND(J39="Muy Alta",N39="Menor"),AND(J39="Muy Alta",N39="Moderado"),AND(J39="Muy Alta",N39="Mayor")),"Alto",IF(OR(AND(J39="Muy Baja",N39="Catastrófico"),AND(J39="Baja",N39="Catastrófico"),AND(J39="Media",N39="Catastrófico"),AND(J39="Alta",N39="Catastrófico"),AND(J39="Muy Alta",N39="Catastrófico")),"Extremo",""))))</f>
        <v/>
      </c>
      <c r="Q39" s="113">
        <v>1</v>
      </c>
      <c r="R39" s="114"/>
      <c r="S39" s="115" t="str">
        <f>IF(OR(T39="Preventivo",T39="Detectivo"),"Probabilidad",IF(T39="Correctivo","Impacto",""))</f>
        <v/>
      </c>
      <c r="T39" s="116"/>
      <c r="U39" s="116"/>
      <c r="V39" s="117" t="str">
        <f>IF(AND(T39="Preventivo",U39="Automático"),"50%",IF(AND(T39="Preventivo",U39="Manual"),"40%",IF(AND(T39="Detectivo",U39="Automático"),"40%",IF(AND(T39="Detectivo",U39="Manual"),"30%",IF(AND(T39="Correctivo",U39="Automático"),"35%",IF(AND(T39="Correctivo",U39="Manual"),"25%",""))))))</f>
        <v/>
      </c>
      <c r="W39" s="116"/>
      <c r="X39" s="116"/>
      <c r="Y39" s="116"/>
      <c r="Z39" s="118" t="str">
        <f>IFERROR(IF(S39="Probabilidad",(K39-(+K39*V39)),IF(S39="Impacto",K39,"")),"")</f>
        <v/>
      </c>
      <c r="AA39" s="119" t="str">
        <f>IFERROR(IF(Z39="","",IF(Z39&lt;=0.2,"Muy Baja",IF(Z39&lt;=0.4,"Baja",IF(Z39&lt;=0.6,"Media",IF(Z39&lt;=0.8,"Alta","Muy Alta"))))),"")</f>
        <v/>
      </c>
      <c r="AB39" s="117" t="str">
        <f>+Z39</f>
        <v/>
      </c>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21"/>
      <c r="AH39" s="122"/>
      <c r="AI39" s="123"/>
      <c r="AJ39" s="123"/>
      <c r="AK39" s="121"/>
      <c r="AL39" s="122"/>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22"/>
      <c r="B40" s="139"/>
      <c r="C40" s="139"/>
      <c r="D40" s="223"/>
      <c r="E40" s="213"/>
      <c r="F40" s="141"/>
      <c r="G40" s="223"/>
      <c r="H40" s="140"/>
      <c r="I40" s="224"/>
      <c r="J40" s="220"/>
      <c r="K40" s="219"/>
      <c r="L40" s="218"/>
      <c r="M40" s="219">
        <f t="shared" ref="M40:M44" ca="1" si="25">IF(NOT(ISERROR(MATCH(L40,_xlfn.ANCHORARRAY(E51),0))),K53&amp;"Por favor no seleccionar los criterios de impacto",L40)</f>
        <v>0</v>
      </c>
      <c r="N40" s="220"/>
      <c r="O40" s="219"/>
      <c r="P40" s="221"/>
      <c r="Q40" s="113">
        <v>2</v>
      </c>
      <c r="R40" s="114"/>
      <c r="S40" s="115" t="str">
        <f>IF(OR(T40="Preventivo",T40="Detectivo"),"Probabilidad",IF(T40="Correctivo","Impacto",""))</f>
        <v/>
      </c>
      <c r="T40" s="116"/>
      <c r="U40" s="116"/>
      <c r="V40" s="117" t="str">
        <f t="shared" ref="V40:V44" si="26">IF(AND(T40="Preventivo",U40="Automático"),"50%",IF(AND(T40="Preventivo",U40="Manual"),"40%",IF(AND(T40="Detectivo",U40="Automático"),"40%",IF(AND(T40="Detectivo",U40="Manual"),"30%",IF(AND(T40="Correctivo",U40="Automático"),"35%",IF(AND(T40="Correctivo",U40="Manual"),"25%",""))))))</f>
        <v/>
      </c>
      <c r="W40" s="116"/>
      <c r="X40" s="116"/>
      <c r="Y40" s="116"/>
      <c r="Z40" s="118" t="str">
        <f>IFERROR(IF(AND(S39="Probabilidad",S40="Probabilidad"),(AB39-(+AB39*V40)),IF(S40="Probabilidad",(K39-(+K39*V40)),IF(S40="Impacto",AB39,""))),"")</f>
        <v/>
      </c>
      <c r="AA40" s="119" t="str">
        <f t="shared" si="0"/>
        <v/>
      </c>
      <c r="AB40" s="117" t="str">
        <f t="shared" ref="AB40:AB44" si="27">+Z40</f>
        <v/>
      </c>
      <c r="AC40" s="119" t="str">
        <f t="shared" si="2"/>
        <v/>
      </c>
      <c r="AD40" s="117" t="str">
        <f>IFERROR(IF(AND(S39="Impacto",S40="Impacto"),(AD27-(+AD27*V40)),IF(S40="Impacto",($O$39-(+$O$39*V40)),IF(S40="Probabilidad",AD27,""))),"")</f>
        <v/>
      </c>
      <c r="AE40" s="120" t="str">
        <f t="shared" ref="AE40:AE41" si="28">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21"/>
      <c r="AH40" s="122"/>
      <c r="AI40" s="123"/>
      <c r="AJ40" s="123"/>
      <c r="AK40" s="121"/>
      <c r="AL40" s="122"/>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22"/>
      <c r="B41" s="139"/>
      <c r="C41" s="139"/>
      <c r="D41" s="223"/>
      <c r="E41" s="213"/>
      <c r="F41" s="141"/>
      <c r="G41" s="223"/>
      <c r="H41" s="140"/>
      <c r="I41" s="224"/>
      <c r="J41" s="220"/>
      <c r="K41" s="219"/>
      <c r="L41" s="218"/>
      <c r="M41" s="219">
        <f t="shared" ca="1" si="25"/>
        <v>0</v>
      </c>
      <c r="N41" s="220"/>
      <c r="O41" s="219"/>
      <c r="P41" s="221"/>
      <c r="Q41" s="113">
        <v>3</v>
      </c>
      <c r="R41" s="126"/>
      <c r="S41" s="115" t="str">
        <f>IF(OR(T41="Preventivo",T41="Detectivo"),"Probabilidad",IF(T41="Correctivo","Impacto",""))</f>
        <v/>
      </c>
      <c r="T41" s="116"/>
      <c r="U41" s="116"/>
      <c r="V41" s="117" t="str">
        <f t="shared" si="26"/>
        <v/>
      </c>
      <c r="W41" s="116"/>
      <c r="X41" s="116"/>
      <c r="Y41" s="116"/>
      <c r="Z41" s="118" t="str">
        <f>IFERROR(IF(AND(S40="Probabilidad",S41="Probabilidad"),(AB40-(+AB40*V41)),IF(AND(S40="Impacto",S41="Probabilidad"),(AB39-(+AB39*V41)),IF(S41="Impacto",AB40,""))),"")</f>
        <v/>
      </c>
      <c r="AA41" s="119" t="str">
        <f t="shared" si="0"/>
        <v/>
      </c>
      <c r="AB41" s="117" t="str">
        <f t="shared" si="27"/>
        <v/>
      </c>
      <c r="AC41" s="119" t="str">
        <f t="shared" si="2"/>
        <v/>
      </c>
      <c r="AD41" s="117" t="str">
        <f>IFERROR(IF(AND(S40="Impacto",S41="Impacto"),(AD40-(+AD40*V41)),IF(AND(S40="Probabilidad",S41="Impacto"),(AD39-(+AD39*V41)),IF(S41="Probabilidad",AD40,""))),"")</f>
        <v/>
      </c>
      <c r="AE41" s="120" t="str">
        <f t="shared" si="28"/>
        <v/>
      </c>
      <c r="AF41" s="116"/>
      <c r="AG41" s="121"/>
      <c r="AH41" s="122"/>
      <c r="AI41" s="123"/>
      <c r="AJ41" s="123"/>
      <c r="AK41" s="121"/>
      <c r="AL41" s="122"/>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22"/>
      <c r="B42" s="139"/>
      <c r="C42" s="139"/>
      <c r="D42" s="223"/>
      <c r="E42" s="213"/>
      <c r="F42" s="141"/>
      <c r="G42" s="223"/>
      <c r="H42" s="140"/>
      <c r="I42" s="224"/>
      <c r="J42" s="220"/>
      <c r="K42" s="219"/>
      <c r="L42" s="218"/>
      <c r="M42" s="219">
        <f t="shared" ca="1" si="25"/>
        <v>0</v>
      </c>
      <c r="N42" s="220"/>
      <c r="O42" s="219"/>
      <c r="P42" s="221"/>
      <c r="Q42" s="113">
        <v>4</v>
      </c>
      <c r="R42" s="114"/>
      <c r="S42" s="115" t="str">
        <f t="shared" ref="S42:S44" si="29">IF(OR(T42="Preventivo",T42="Detectivo"),"Probabilidad",IF(T42="Correctivo","Impacto",""))</f>
        <v/>
      </c>
      <c r="T42" s="116"/>
      <c r="U42" s="116"/>
      <c r="V42" s="117" t="str">
        <f t="shared" si="26"/>
        <v/>
      </c>
      <c r="W42" s="116"/>
      <c r="X42" s="116"/>
      <c r="Y42" s="116"/>
      <c r="Z42" s="118" t="str">
        <f t="shared" ref="Z42:Z44" si="30">IFERROR(IF(AND(S41="Probabilidad",S42="Probabilidad"),(AB41-(+AB41*V42)),IF(AND(S41="Impacto",S42="Probabilidad"),(AB40-(+AB40*V42)),IF(S42="Impacto",AB41,""))),"")</f>
        <v/>
      </c>
      <c r="AA42" s="119" t="str">
        <f t="shared" si="0"/>
        <v/>
      </c>
      <c r="AB42" s="117" t="str">
        <f t="shared" si="27"/>
        <v/>
      </c>
      <c r="AC42" s="119" t="str">
        <f t="shared" si="2"/>
        <v/>
      </c>
      <c r="AD42" s="117" t="str">
        <f t="shared" ref="AD42:AD44" si="31">IFERROR(IF(AND(S41="Impacto",S42="Impacto"),(AD41-(+AD41*V42)),IF(AND(S41="Probabilidad",S42="Impacto"),(AD40-(+AD40*V42)),IF(S42="Probabilidad",AD41,""))),"")</f>
        <v/>
      </c>
      <c r="AE42" s="120"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6"/>
      <c r="AG42" s="121"/>
      <c r="AH42" s="122"/>
      <c r="AI42" s="123"/>
      <c r="AJ42" s="123"/>
      <c r="AK42" s="121"/>
      <c r="AL42" s="122"/>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22"/>
      <c r="B43" s="139"/>
      <c r="C43" s="139"/>
      <c r="D43" s="223"/>
      <c r="E43" s="213"/>
      <c r="F43" s="141"/>
      <c r="G43" s="223"/>
      <c r="H43" s="140"/>
      <c r="I43" s="224"/>
      <c r="J43" s="220"/>
      <c r="K43" s="219"/>
      <c r="L43" s="218"/>
      <c r="M43" s="219">
        <f t="shared" ca="1" si="25"/>
        <v>0</v>
      </c>
      <c r="N43" s="220"/>
      <c r="O43" s="219"/>
      <c r="P43" s="221"/>
      <c r="Q43" s="113">
        <v>5</v>
      </c>
      <c r="R43" s="114"/>
      <c r="S43" s="115" t="str">
        <f t="shared" si="29"/>
        <v/>
      </c>
      <c r="T43" s="116"/>
      <c r="U43" s="116"/>
      <c r="V43" s="117" t="str">
        <f t="shared" si="26"/>
        <v/>
      </c>
      <c r="W43" s="116"/>
      <c r="X43" s="116"/>
      <c r="Y43" s="116"/>
      <c r="Z43" s="118" t="str">
        <f t="shared" si="30"/>
        <v/>
      </c>
      <c r="AA43" s="119" t="str">
        <f t="shared" si="0"/>
        <v/>
      </c>
      <c r="AB43" s="117" t="str">
        <f t="shared" si="27"/>
        <v/>
      </c>
      <c r="AC43" s="119" t="str">
        <f t="shared" si="2"/>
        <v/>
      </c>
      <c r="AD43" s="117" t="str">
        <f t="shared" si="31"/>
        <v/>
      </c>
      <c r="AE43" s="120" t="str">
        <f t="shared" ref="AE43:AE44" si="32">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6"/>
      <c r="AG43" s="121"/>
      <c r="AH43" s="122"/>
      <c r="AI43" s="123"/>
      <c r="AJ43" s="123"/>
      <c r="AK43" s="121"/>
      <c r="AL43" s="122"/>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22"/>
      <c r="B44" s="139"/>
      <c r="C44" s="139"/>
      <c r="D44" s="223"/>
      <c r="E44" s="213"/>
      <c r="F44" s="141"/>
      <c r="G44" s="223"/>
      <c r="H44" s="140"/>
      <c r="I44" s="224"/>
      <c r="J44" s="220"/>
      <c r="K44" s="219"/>
      <c r="L44" s="218"/>
      <c r="M44" s="219">
        <f t="shared" ca="1" si="25"/>
        <v>0</v>
      </c>
      <c r="N44" s="220"/>
      <c r="O44" s="219"/>
      <c r="P44" s="221"/>
      <c r="Q44" s="113">
        <v>6</v>
      </c>
      <c r="R44" s="114"/>
      <c r="S44" s="115" t="str">
        <f t="shared" si="29"/>
        <v/>
      </c>
      <c r="T44" s="116"/>
      <c r="U44" s="116"/>
      <c r="V44" s="117" t="str">
        <f t="shared" si="26"/>
        <v/>
      </c>
      <c r="W44" s="116"/>
      <c r="X44" s="116"/>
      <c r="Y44" s="116"/>
      <c r="Z44" s="118" t="str">
        <f t="shared" si="30"/>
        <v/>
      </c>
      <c r="AA44" s="119" t="str">
        <f t="shared" si="0"/>
        <v/>
      </c>
      <c r="AB44" s="117" t="str">
        <f t="shared" si="27"/>
        <v/>
      </c>
      <c r="AC44" s="119" t="str">
        <f t="shared" si="2"/>
        <v/>
      </c>
      <c r="AD44" s="117" t="str">
        <f t="shared" si="31"/>
        <v/>
      </c>
      <c r="AE44" s="120" t="str">
        <f t="shared" si="32"/>
        <v/>
      </c>
      <c r="AF44" s="116"/>
      <c r="AG44" s="121"/>
      <c r="AH44" s="122"/>
      <c r="AI44" s="123"/>
      <c r="AJ44" s="123"/>
      <c r="AK44" s="121"/>
      <c r="AL44" s="122"/>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22">
        <v>6</v>
      </c>
      <c r="B45" s="139"/>
      <c r="C45" s="139"/>
      <c r="D45" s="223"/>
      <c r="E45" s="213"/>
      <c r="F45" s="141"/>
      <c r="G45" s="223"/>
      <c r="H45" s="140"/>
      <c r="I45" s="224"/>
      <c r="J45" s="220" t="str">
        <f>IF(I45&lt;=0,"",IF(I45&lt;=2,"Muy Baja",IF(I45&lt;=24,"Baja",IF(I45&lt;=500,"Media",IF(I45&lt;=5000,"Alta","Muy Alta")))))</f>
        <v/>
      </c>
      <c r="K45" s="219" t="str">
        <f>IF(J45="","",IF(J45="Muy Baja",0.2,IF(J45="Baja",0.4,IF(J45="Media",0.6,IF(J45="Alta",0.8,IF(J45="Muy Alta",1,))))))</f>
        <v/>
      </c>
      <c r="L45" s="218"/>
      <c r="M45" s="219">
        <f>IF(NOT(ISERROR(MATCH(L45,'Tabla Impacto'!$B$221:$B$223,0))),'Tabla Impacto'!$F$223&amp;"Por favor no seleccionar los criterios de impacto(Afectación Económica o presupuestal y Pérdida Reputacional)",L45)</f>
        <v>0</v>
      </c>
      <c r="N45" s="220" t="str">
        <f>IF(OR(M45='Tabla Impacto'!$C$11,M45='Tabla Impacto'!$D$11),"Leve",IF(OR(M45='Tabla Impacto'!$C$12,M45='Tabla Impacto'!$D$12),"Menor",IF(OR(M45='Tabla Impacto'!$C$13,M45='Tabla Impacto'!$D$13),"Moderado",IF(OR(M45='Tabla Impacto'!$C$14,M45='Tabla Impacto'!$D$14),"Mayor",IF(OR(M45='Tabla Impacto'!$C$15,M45='Tabla Impacto'!$D$15),"Catastrófico","")))))</f>
        <v/>
      </c>
      <c r="O45" s="219" t="str">
        <f>IF(N45="","",IF(N45="Leve",0.2,IF(N45="Menor",0.4,IF(N45="Moderado",0.6,IF(N45="Mayor",0.8,IF(N45="Catastrófico",1,))))))</f>
        <v/>
      </c>
      <c r="P45" s="221" t="str">
        <f>IF(OR(AND(J45="Muy Baja",N45="Leve"),AND(J45="Muy Baja",N45="Menor"),AND(J45="Baja",N45="Leve")),"Bajo",IF(OR(AND(J45="Muy baja",N45="Moderado"),AND(J45="Baja",N45="Menor"),AND(J45="Baja",N45="Moderado"),AND(J45="Media",N45="Leve"),AND(J45="Media",N45="Menor"),AND(J45="Media",N45="Moderado"),AND(J45="Alta",N45="Leve"),AND(J45="Alta",N45="Menor")),"Moderado",IF(OR(AND(J45="Muy Baja",N45="Mayor"),AND(J45="Baja",N45="Mayor"),AND(J45="Media",N45="Mayor"),AND(J45="Alta",N45="Moderado"),AND(J45="Alta",N45="Mayor"),AND(J45="Muy Alta",N45="Leve"),AND(J45="Muy Alta",N45="Menor"),AND(J45="Muy Alta",N45="Moderado"),AND(J45="Muy Alta",N45="Mayor")),"Alto",IF(OR(AND(J45="Muy Baja",N45="Catastrófico"),AND(J45="Baja",N45="Catastrófico"),AND(J45="Media",N45="Catastrófico"),AND(J45="Alta",N45="Catastrófico"),AND(J45="Muy Alta",N45="Catastrófico")),"Extremo",""))))</f>
        <v/>
      </c>
      <c r="Q45" s="113">
        <v>1</v>
      </c>
      <c r="R45" s="114"/>
      <c r="S45" s="115" t="str">
        <f>IF(OR(T45="Preventivo",T45="Detectivo"),"Probabilidad",IF(T45="Correctivo","Impacto",""))</f>
        <v/>
      </c>
      <c r="T45" s="116"/>
      <c r="U45" s="116"/>
      <c r="V45" s="117" t="str">
        <f>IF(AND(T45="Preventivo",U45="Automático"),"50%",IF(AND(T45="Preventivo",U45="Manual"),"40%",IF(AND(T45="Detectivo",U45="Automático"),"40%",IF(AND(T45="Detectivo",U45="Manual"),"30%",IF(AND(T45="Correctivo",U45="Automático"),"35%",IF(AND(T45="Correctivo",U45="Manual"),"25%",""))))))</f>
        <v/>
      </c>
      <c r="W45" s="116"/>
      <c r="X45" s="116"/>
      <c r="Y45" s="116"/>
      <c r="Z45" s="118" t="str">
        <f>IFERROR(IF(S45="Probabilidad",(K45-(+K45*V45)),IF(S45="Impacto",K45,"")),"")</f>
        <v/>
      </c>
      <c r="AA45" s="119" t="str">
        <f>IFERROR(IF(Z45="","",IF(Z45&lt;=0.2,"Muy Baja",IF(Z45&lt;=0.4,"Baja",IF(Z45&lt;=0.6,"Media",IF(Z45&lt;=0.8,"Alta","Muy Alta"))))),"")</f>
        <v/>
      </c>
      <c r="AB45" s="117" t="str">
        <f>+Z45</f>
        <v/>
      </c>
      <c r="AC45" s="119" t="str">
        <f>IFERROR(IF(AD45="","",IF(AD45&lt;=0.2,"Leve",IF(AD45&lt;=0.4,"Menor",IF(AD45&lt;=0.6,"Moderado",IF(AD45&lt;=0.8,"Mayor","Catastrófico"))))),"")</f>
        <v/>
      </c>
      <c r="AD45" s="117" t="str">
        <f>IFERROR(IF(S45="Impacto",(O45-(+O45*V45)),IF(S45="Probabilidad",O45,"")),"")</f>
        <v/>
      </c>
      <c r="AE45" s="120" t="str">
        <f>IFERROR(IF(OR(AND(AA45="Muy Baja",AC45="Leve"),AND(AA45="Muy Baja",AC45="Menor"),AND(AA45="Baja",AC45="Leve")),"Bajo",IF(OR(AND(AA45="Muy baja",AC45="Moderado"),AND(AA45="Baja",AC45="Menor"),AND(AA45="Baja",AC45="Moderado"),AND(AA45="Media",AC45="Leve"),AND(AA45="Media",AC45="Menor"),AND(AA45="Media",AC45="Moderado"),AND(AA45="Alta",AC45="Leve"),AND(AA45="Alta",AC45="Menor")),"Moderado",IF(OR(AND(AA45="Muy Baja",AC45="Mayor"),AND(AA45="Baja",AC45="Mayor"),AND(AA45="Media",AC45="Mayor"),AND(AA45="Alta",AC45="Moderado"),AND(AA45="Alta",AC45="Mayor"),AND(AA45="Muy Alta",AC45="Leve"),AND(AA45="Muy Alta",AC45="Menor"),AND(AA45="Muy Alta",AC45="Moderado"),AND(AA45="Muy Alta",AC45="Mayor")),"Alto",IF(OR(AND(AA45="Muy Baja",AC45="Catastrófico"),AND(AA45="Baja",AC45="Catastrófico"),AND(AA45="Media",AC45="Catastrófico"),AND(AA45="Alta",AC45="Catastrófico"),AND(AA45="Muy Alta",AC45="Catastrófico")),"Extremo","")))),"")</f>
        <v/>
      </c>
      <c r="AF45" s="116"/>
      <c r="AG45" s="121"/>
      <c r="AH45" s="122"/>
      <c r="AI45" s="123"/>
      <c r="AJ45" s="123"/>
      <c r="AK45" s="121"/>
      <c r="AL45" s="122"/>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22"/>
      <c r="B46" s="139"/>
      <c r="C46" s="139"/>
      <c r="D46" s="223"/>
      <c r="E46" s="213"/>
      <c r="F46" s="141"/>
      <c r="G46" s="223"/>
      <c r="H46" s="140"/>
      <c r="I46" s="224"/>
      <c r="J46" s="220"/>
      <c r="K46" s="219"/>
      <c r="L46" s="218"/>
      <c r="M46" s="219">
        <f t="shared" ref="M46:M50" ca="1" si="33">IF(NOT(ISERROR(MATCH(L46,_xlfn.ANCHORARRAY(E57),0))),K59&amp;"Por favor no seleccionar los criterios de impacto",L46)</f>
        <v>0</v>
      </c>
      <c r="N46" s="220"/>
      <c r="O46" s="219"/>
      <c r="P46" s="221"/>
      <c r="Q46" s="113">
        <v>2</v>
      </c>
      <c r="R46" s="114"/>
      <c r="S46" s="115" t="str">
        <f>IF(OR(T46="Preventivo",T46="Detectivo"),"Probabilidad",IF(T46="Correctivo","Impacto",""))</f>
        <v/>
      </c>
      <c r="T46" s="116"/>
      <c r="U46" s="116"/>
      <c r="V46" s="117" t="str">
        <f t="shared" ref="V46:V50" si="34">IF(AND(T46="Preventivo",U46="Automático"),"50%",IF(AND(T46="Preventivo",U46="Manual"),"40%",IF(AND(T46="Detectivo",U46="Automático"),"40%",IF(AND(T46="Detectivo",U46="Manual"),"30%",IF(AND(T46="Correctivo",U46="Automático"),"35%",IF(AND(T46="Correctivo",U46="Manual"),"25%",""))))))</f>
        <v/>
      </c>
      <c r="W46" s="116"/>
      <c r="X46" s="116"/>
      <c r="Y46" s="116"/>
      <c r="Z46" s="118" t="str">
        <f>IFERROR(IF(AND(S45="Probabilidad",S46="Probabilidad"),(AB45-(+AB45*V46)),IF(S46="Probabilidad",(K45-(+K45*V46)),IF(S46="Impacto",AB45,""))),"")</f>
        <v/>
      </c>
      <c r="AA46" s="119" t="str">
        <f t="shared" si="0"/>
        <v/>
      </c>
      <c r="AB46" s="117" t="str">
        <f t="shared" ref="AB46:AB50" si="35">+Z46</f>
        <v/>
      </c>
      <c r="AC46" s="119" t="str">
        <f t="shared" si="2"/>
        <v/>
      </c>
      <c r="AD46" s="117" t="str">
        <f>IFERROR(IF(AND(S45="Impacto",S46="Impacto"),(AD39-(+AD39*V46)),IF(S46="Impacto",($O$45-(+$O$45*V46)),IF(S46="Probabilidad",AD39,""))),"")</f>
        <v/>
      </c>
      <c r="AE46" s="120" t="str">
        <f t="shared" ref="AE46:AE47" si="36">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6"/>
      <c r="AG46" s="121"/>
      <c r="AH46" s="122"/>
      <c r="AI46" s="123"/>
      <c r="AJ46" s="123"/>
      <c r="AK46" s="121"/>
      <c r="AL46" s="122"/>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22"/>
      <c r="B47" s="139"/>
      <c r="C47" s="139"/>
      <c r="D47" s="223"/>
      <c r="E47" s="213"/>
      <c r="F47" s="141"/>
      <c r="G47" s="223"/>
      <c r="H47" s="140"/>
      <c r="I47" s="224"/>
      <c r="J47" s="220"/>
      <c r="K47" s="219"/>
      <c r="L47" s="218"/>
      <c r="M47" s="219">
        <f t="shared" ca="1" si="33"/>
        <v>0</v>
      </c>
      <c r="N47" s="220"/>
      <c r="O47" s="219"/>
      <c r="P47" s="221"/>
      <c r="Q47" s="113">
        <v>3</v>
      </c>
      <c r="R47" s="126"/>
      <c r="S47" s="115" t="str">
        <f>IF(OR(T47="Preventivo",T47="Detectivo"),"Probabilidad",IF(T47="Correctivo","Impacto",""))</f>
        <v/>
      </c>
      <c r="T47" s="116"/>
      <c r="U47" s="116"/>
      <c r="V47" s="117" t="str">
        <f t="shared" si="34"/>
        <v/>
      </c>
      <c r="W47" s="116"/>
      <c r="X47" s="116"/>
      <c r="Y47" s="116"/>
      <c r="Z47" s="118" t="str">
        <f>IFERROR(IF(AND(S46="Probabilidad",S47="Probabilidad"),(AB46-(+AB46*V47)),IF(AND(S46="Impacto",S47="Probabilidad"),(AB45-(+AB45*V47)),IF(S47="Impacto",AB46,""))),"")</f>
        <v/>
      </c>
      <c r="AA47" s="119" t="str">
        <f t="shared" si="0"/>
        <v/>
      </c>
      <c r="AB47" s="117" t="str">
        <f t="shared" si="35"/>
        <v/>
      </c>
      <c r="AC47" s="119" t="str">
        <f t="shared" si="2"/>
        <v/>
      </c>
      <c r="AD47" s="117" t="str">
        <f>IFERROR(IF(AND(S46="Impacto",S47="Impacto"),(AD46-(+AD46*V47)),IF(AND(S46="Probabilidad",S47="Impacto"),(AD45-(+AD45*V47)),IF(S47="Probabilidad",AD46,""))),"")</f>
        <v/>
      </c>
      <c r="AE47" s="120" t="str">
        <f t="shared" si="36"/>
        <v/>
      </c>
      <c r="AF47" s="116"/>
      <c r="AG47" s="121"/>
      <c r="AH47" s="122"/>
      <c r="AI47" s="123"/>
      <c r="AJ47" s="123"/>
      <c r="AK47" s="121"/>
      <c r="AL47" s="122"/>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22"/>
      <c r="B48" s="139"/>
      <c r="C48" s="139"/>
      <c r="D48" s="223"/>
      <c r="E48" s="213"/>
      <c r="F48" s="141"/>
      <c r="G48" s="223"/>
      <c r="H48" s="140"/>
      <c r="I48" s="224"/>
      <c r="J48" s="220"/>
      <c r="K48" s="219"/>
      <c r="L48" s="218"/>
      <c r="M48" s="219">
        <f t="shared" ca="1" si="33"/>
        <v>0</v>
      </c>
      <c r="N48" s="220"/>
      <c r="O48" s="219"/>
      <c r="P48" s="221"/>
      <c r="Q48" s="113">
        <v>4</v>
      </c>
      <c r="R48" s="114"/>
      <c r="S48" s="115" t="str">
        <f t="shared" ref="S48:S50" si="37">IF(OR(T48="Preventivo",T48="Detectivo"),"Probabilidad",IF(T48="Correctivo","Impacto",""))</f>
        <v/>
      </c>
      <c r="T48" s="116"/>
      <c r="U48" s="116"/>
      <c r="V48" s="117" t="str">
        <f t="shared" si="34"/>
        <v/>
      </c>
      <c r="W48" s="116"/>
      <c r="X48" s="116"/>
      <c r="Y48" s="116"/>
      <c r="Z48" s="118" t="str">
        <f t="shared" ref="Z48:Z50" si="38">IFERROR(IF(AND(S47="Probabilidad",S48="Probabilidad"),(AB47-(+AB47*V48)),IF(AND(S47="Impacto",S48="Probabilidad"),(AB46-(+AB46*V48)),IF(S48="Impacto",AB47,""))),"")</f>
        <v/>
      </c>
      <c r="AA48" s="119" t="str">
        <f t="shared" si="0"/>
        <v/>
      </c>
      <c r="AB48" s="117" t="str">
        <f t="shared" si="35"/>
        <v/>
      </c>
      <c r="AC48" s="119" t="str">
        <f t="shared" si="2"/>
        <v/>
      </c>
      <c r="AD48" s="117" t="str">
        <f t="shared" ref="AD48:AD50" si="39">IFERROR(IF(AND(S47="Impacto",S48="Impacto"),(AD47-(+AD47*V48)),IF(AND(S47="Probabilidad",S48="Impacto"),(AD46-(+AD46*V48)),IF(S48="Probabilidad",AD47,""))),"")</f>
        <v/>
      </c>
      <c r="AE48" s="120" t="str">
        <f>IFERROR(IF(OR(AND(AA48="Muy Baja",AC48="Leve"),AND(AA48="Muy Baja",AC48="Menor"),AND(AA48="Baja",AC48="Leve")),"Bajo",IF(OR(AND(AA48="Muy baja",AC48="Moderado"),AND(AA48="Baja",AC48="Menor"),AND(AA48="Baja",AC48="Moderado"),AND(AA48="Media",AC48="Leve"),AND(AA48="Media",AC48="Menor"),AND(AA48="Media",AC48="Moderado"),AND(AA48="Alta",AC48="Leve"),AND(AA48="Alta",AC48="Menor")),"Moderado",IF(OR(AND(AA48="Muy Baja",AC48="Mayor"),AND(AA48="Baja",AC48="Mayor"),AND(AA48="Media",AC48="Mayor"),AND(AA48="Alta",AC48="Moderado"),AND(AA48="Alta",AC48="Mayor"),AND(AA48="Muy Alta",AC48="Leve"),AND(AA48="Muy Alta",AC48="Menor"),AND(AA48="Muy Alta",AC48="Moderado"),AND(AA48="Muy Alta",AC48="Mayor")),"Alto",IF(OR(AND(AA48="Muy Baja",AC48="Catastrófico"),AND(AA48="Baja",AC48="Catastrófico"),AND(AA48="Media",AC48="Catastrófico"),AND(AA48="Alta",AC48="Catastrófico"),AND(AA48="Muy Alta",AC48="Catastrófico")),"Extremo","")))),"")</f>
        <v/>
      </c>
      <c r="AF48" s="116"/>
      <c r="AG48" s="121"/>
      <c r="AH48" s="122"/>
      <c r="AI48" s="123"/>
      <c r="AJ48" s="123"/>
      <c r="AK48" s="121"/>
      <c r="AL48" s="122"/>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22"/>
      <c r="B49" s="139"/>
      <c r="C49" s="139"/>
      <c r="D49" s="223"/>
      <c r="E49" s="213"/>
      <c r="F49" s="141"/>
      <c r="G49" s="223"/>
      <c r="H49" s="140"/>
      <c r="I49" s="224"/>
      <c r="J49" s="220"/>
      <c r="K49" s="219"/>
      <c r="L49" s="218"/>
      <c r="M49" s="219">
        <f t="shared" ca="1" si="33"/>
        <v>0</v>
      </c>
      <c r="N49" s="220"/>
      <c r="O49" s="219"/>
      <c r="P49" s="221"/>
      <c r="Q49" s="113">
        <v>5</v>
      </c>
      <c r="R49" s="114"/>
      <c r="S49" s="115" t="str">
        <f t="shared" si="37"/>
        <v/>
      </c>
      <c r="T49" s="116"/>
      <c r="U49" s="116"/>
      <c r="V49" s="117" t="str">
        <f t="shared" si="34"/>
        <v/>
      </c>
      <c r="W49" s="116"/>
      <c r="X49" s="116"/>
      <c r="Y49" s="116"/>
      <c r="Z49" s="118" t="str">
        <f t="shared" si="38"/>
        <v/>
      </c>
      <c r="AA49" s="119" t="str">
        <f t="shared" si="0"/>
        <v/>
      </c>
      <c r="AB49" s="117" t="str">
        <f t="shared" si="35"/>
        <v/>
      </c>
      <c r="AC49" s="119" t="str">
        <f t="shared" si="2"/>
        <v/>
      </c>
      <c r="AD49" s="117" t="str">
        <f t="shared" si="39"/>
        <v/>
      </c>
      <c r="AE49" s="120" t="str">
        <f t="shared" ref="AE49" si="40">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6"/>
      <c r="AG49" s="121"/>
      <c r="AH49" s="122"/>
      <c r="AI49" s="123"/>
      <c r="AJ49" s="123"/>
      <c r="AK49" s="121"/>
      <c r="AL49" s="122"/>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22"/>
      <c r="B50" s="139"/>
      <c r="C50" s="139"/>
      <c r="D50" s="223"/>
      <c r="E50" s="213"/>
      <c r="F50" s="141"/>
      <c r="G50" s="223"/>
      <c r="H50" s="140"/>
      <c r="I50" s="224"/>
      <c r="J50" s="220"/>
      <c r="K50" s="219"/>
      <c r="L50" s="218"/>
      <c r="M50" s="219">
        <f t="shared" ca="1" si="33"/>
        <v>0</v>
      </c>
      <c r="N50" s="220"/>
      <c r="O50" s="219"/>
      <c r="P50" s="221"/>
      <c r="Q50" s="113">
        <v>6</v>
      </c>
      <c r="R50" s="114"/>
      <c r="S50" s="115" t="str">
        <f t="shared" si="37"/>
        <v/>
      </c>
      <c r="T50" s="116"/>
      <c r="U50" s="116"/>
      <c r="V50" s="117" t="str">
        <f t="shared" si="34"/>
        <v/>
      </c>
      <c r="W50" s="116"/>
      <c r="X50" s="116"/>
      <c r="Y50" s="116"/>
      <c r="Z50" s="118" t="str">
        <f t="shared" si="38"/>
        <v/>
      </c>
      <c r="AA50" s="119" t="str">
        <f t="shared" si="0"/>
        <v/>
      </c>
      <c r="AB50" s="117" t="str">
        <f t="shared" si="35"/>
        <v/>
      </c>
      <c r="AC50" s="119" t="str">
        <f>IFERROR(IF(AD50="","",IF(AD50&lt;=0.2,"Leve",IF(AD50&lt;=0.4,"Menor",IF(AD50&lt;=0.6,"Moderado",IF(AD50&lt;=0.8,"Mayor","Catastrófico"))))),"")</f>
        <v/>
      </c>
      <c r="AD50" s="117" t="str">
        <f t="shared" si="39"/>
        <v/>
      </c>
      <c r="AE50" s="120" t="str">
        <f>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
      </c>
      <c r="AF50" s="116"/>
      <c r="AG50" s="121"/>
      <c r="AH50" s="122"/>
      <c r="AI50" s="123"/>
      <c r="AJ50" s="123"/>
      <c r="AK50" s="121"/>
      <c r="AL50" s="122"/>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22">
        <v>7</v>
      </c>
      <c r="B51" s="139"/>
      <c r="C51" s="139"/>
      <c r="D51" s="223"/>
      <c r="E51" s="213"/>
      <c r="F51" s="141"/>
      <c r="G51" s="223"/>
      <c r="H51" s="140"/>
      <c r="I51" s="224"/>
      <c r="J51" s="220" t="str">
        <f>IF(I51&lt;=0,"",IF(I51&lt;=2,"Muy Baja",IF(I51&lt;=24,"Baja",IF(I51&lt;=500,"Media",IF(I51&lt;=5000,"Alta","Muy Alta")))))</f>
        <v/>
      </c>
      <c r="K51" s="219" t="str">
        <f>IF(J51="","",IF(J51="Muy Baja",0.2,IF(J51="Baja",0.4,IF(J51="Media",0.6,IF(J51="Alta",0.8,IF(J51="Muy Alta",1,))))))</f>
        <v/>
      </c>
      <c r="L51" s="218"/>
      <c r="M51" s="219">
        <f>IF(NOT(ISERROR(MATCH(L51,'Tabla Impacto'!$B$221:$B$223,0))),'Tabla Impacto'!$F$223&amp;"Por favor no seleccionar los criterios de impacto(Afectación Económica o presupuestal y Pérdida Reputacional)",L51)</f>
        <v>0</v>
      </c>
      <c r="N51" s="220" t="str">
        <f>IF(OR(M51='Tabla Impacto'!$C$11,M51='Tabla Impacto'!$D$11),"Leve",IF(OR(M51='Tabla Impacto'!$C$12,M51='Tabla Impacto'!$D$12),"Menor",IF(OR(M51='Tabla Impacto'!$C$13,M51='Tabla Impacto'!$D$13),"Moderado",IF(OR(M51='Tabla Impacto'!$C$14,M51='Tabla Impacto'!$D$14),"Mayor",IF(OR(M51='Tabla Impacto'!$C$15,M51='Tabla Impacto'!$D$15),"Catastrófico","")))))</f>
        <v/>
      </c>
      <c r="O51" s="219" t="str">
        <f>IF(N51="","",IF(N51="Leve",0.2,IF(N51="Menor",0.4,IF(N51="Moderado",0.6,IF(N51="Mayor",0.8,IF(N51="Catastrófico",1,))))))</f>
        <v/>
      </c>
      <c r="P51" s="221" t="str">
        <f>IF(OR(AND(J51="Muy Baja",N51="Leve"),AND(J51="Muy Baja",N51="Menor"),AND(J51="Baja",N51="Leve")),"Bajo",IF(OR(AND(J51="Muy baja",N51="Moderado"),AND(J51="Baja",N51="Menor"),AND(J51="Baja",N51="Moderado"),AND(J51="Media",N51="Leve"),AND(J51="Media",N51="Menor"),AND(J51="Media",N51="Moderado"),AND(J51="Alta",N51="Leve"),AND(J51="Alta",N51="Menor")),"Moderado",IF(OR(AND(J51="Muy Baja",N51="Mayor"),AND(J51="Baja",N51="Mayor"),AND(J51="Media",N51="Mayor"),AND(J51="Alta",N51="Moderado"),AND(J51="Alta",N51="Mayor"),AND(J51="Muy Alta",N51="Leve"),AND(J51="Muy Alta",N51="Menor"),AND(J51="Muy Alta",N51="Moderado"),AND(J51="Muy Alta",N51="Mayor")),"Alto",IF(OR(AND(J51="Muy Baja",N51="Catastrófico"),AND(J51="Baja",N51="Catastrófico"),AND(J51="Media",N51="Catastrófico"),AND(J51="Alta",N51="Catastrófico"),AND(J51="Muy Alta",N51="Catastrófico")),"Extremo",""))))</f>
        <v/>
      </c>
      <c r="Q51" s="113">
        <v>1</v>
      </c>
      <c r="R51" s="114"/>
      <c r="S51" s="115" t="str">
        <f>IF(OR(T51="Preventivo",T51="Detectivo"),"Probabilidad",IF(T51="Correctivo","Impacto",""))</f>
        <v/>
      </c>
      <c r="T51" s="116"/>
      <c r="U51" s="116"/>
      <c r="V51" s="117" t="str">
        <f>IF(AND(T51="Preventivo",U51="Automático"),"50%",IF(AND(T51="Preventivo",U51="Manual"),"40%",IF(AND(T51="Detectivo",U51="Automático"),"40%",IF(AND(T51="Detectivo",U51="Manual"),"30%",IF(AND(T51="Correctivo",U51="Automático"),"35%",IF(AND(T51="Correctivo",U51="Manual"),"25%",""))))))</f>
        <v/>
      </c>
      <c r="W51" s="116"/>
      <c r="X51" s="116"/>
      <c r="Y51" s="116"/>
      <c r="Z51" s="118" t="str">
        <f>IFERROR(IF(S51="Probabilidad",(K51-(+K51*V51)),IF(S51="Impacto",K51,"")),"")</f>
        <v/>
      </c>
      <c r="AA51" s="119" t="str">
        <f>IFERROR(IF(Z51="","",IF(Z51&lt;=0.2,"Muy Baja",IF(Z51&lt;=0.4,"Baja",IF(Z51&lt;=0.6,"Media",IF(Z51&lt;=0.8,"Alta","Muy Alta"))))),"")</f>
        <v/>
      </c>
      <c r="AB51" s="117" t="str">
        <f>+Z51</f>
        <v/>
      </c>
      <c r="AC51" s="119" t="str">
        <f>IFERROR(IF(AD51="","",IF(AD51&lt;=0.2,"Leve",IF(AD51&lt;=0.4,"Menor",IF(AD51&lt;=0.6,"Moderado",IF(AD51&lt;=0.8,"Mayor","Catastrófico"))))),"")</f>
        <v/>
      </c>
      <c r="AD51" s="117" t="str">
        <f>IFERROR(IF(S51="Impacto",(O51-(+O51*V51)),IF(S51="Probabilidad",O51,"")),"")</f>
        <v/>
      </c>
      <c r="AE51" s="120" t="str">
        <f>IFERROR(IF(OR(AND(AA51="Muy Baja",AC51="Leve"),AND(AA51="Muy Baja",AC51="Menor"),AND(AA51="Baja",AC51="Leve")),"Bajo",IF(OR(AND(AA51="Muy baja",AC51="Moderado"),AND(AA51="Baja",AC51="Menor"),AND(AA51="Baja",AC51="Moderado"),AND(AA51="Media",AC51="Leve"),AND(AA51="Media",AC51="Menor"),AND(AA51="Media",AC51="Moderado"),AND(AA51="Alta",AC51="Leve"),AND(AA51="Alta",AC51="Menor")),"Moderado",IF(OR(AND(AA51="Muy Baja",AC51="Mayor"),AND(AA51="Baja",AC51="Mayor"),AND(AA51="Media",AC51="Mayor"),AND(AA51="Alta",AC51="Moderado"),AND(AA51="Alta",AC51="Mayor"),AND(AA51="Muy Alta",AC51="Leve"),AND(AA51="Muy Alta",AC51="Menor"),AND(AA51="Muy Alta",AC51="Moderado"),AND(AA51="Muy Alta",AC51="Mayor")),"Alto",IF(OR(AND(AA51="Muy Baja",AC51="Catastrófico"),AND(AA51="Baja",AC51="Catastrófico"),AND(AA51="Media",AC51="Catastrófico"),AND(AA51="Alta",AC51="Catastrófico"),AND(AA51="Muy Alta",AC51="Catastrófico")),"Extremo","")))),"")</f>
        <v/>
      </c>
      <c r="AF51" s="116"/>
      <c r="AG51" s="121"/>
      <c r="AH51" s="122"/>
      <c r="AI51" s="123"/>
      <c r="AJ51" s="123"/>
      <c r="AK51" s="121"/>
      <c r="AL51" s="122"/>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22"/>
      <c r="B52" s="139"/>
      <c r="C52" s="139"/>
      <c r="D52" s="223"/>
      <c r="E52" s="213"/>
      <c r="F52" s="141"/>
      <c r="G52" s="223"/>
      <c r="H52" s="140"/>
      <c r="I52" s="224"/>
      <c r="J52" s="220"/>
      <c r="K52" s="219"/>
      <c r="L52" s="218"/>
      <c r="M52" s="219">
        <f t="shared" ref="M52:M56" ca="1" si="41">IF(NOT(ISERROR(MATCH(L52,_xlfn.ANCHORARRAY(E63),0))),K65&amp;"Por favor no seleccionar los criterios de impacto",L52)</f>
        <v>0</v>
      </c>
      <c r="N52" s="220"/>
      <c r="O52" s="219"/>
      <c r="P52" s="221"/>
      <c r="Q52" s="113">
        <v>2</v>
      </c>
      <c r="R52" s="114"/>
      <c r="S52" s="115" t="str">
        <f>IF(OR(T52="Preventivo",T52="Detectivo"),"Probabilidad",IF(T52="Correctivo","Impacto",""))</f>
        <v/>
      </c>
      <c r="T52" s="116"/>
      <c r="U52" s="116"/>
      <c r="V52" s="117" t="str">
        <f t="shared" ref="V52:V56" si="42">IF(AND(T52="Preventivo",U52="Automático"),"50%",IF(AND(T52="Preventivo",U52="Manual"),"40%",IF(AND(T52="Detectivo",U52="Automático"),"40%",IF(AND(T52="Detectivo",U52="Manual"),"30%",IF(AND(T52="Correctivo",U52="Automático"),"35%",IF(AND(T52="Correctivo",U52="Manual"),"25%",""))))))</f>
        <v/>
      </c>
      <c r="W52" s="116"/>
      <c r="X52" s="116"/>
      <c r="Y52" s="116"/>
      <c r="Z52" s="118" t="str">
        <f>IFERROR(IF(AND(S51="Probabilidad",S52="Probabilidad"),(AB51-(+AB51*V52)),IF(S52="Probabilidad",(K51-(+K51*V52)),IF(S52="Impacto",AB51,""))),"")</f>
        <v/>
      </c>
      <c r="AA52" s="119" t="str">
        <f t="shared" si="0"/>
        <v/>
      </c>
      <c r="AB52" s="117" t="str">
        <f t="shared" ref="AB52:AB56" si="43">+Z52</f>
        <v/>
      </c>
      <c r="AC52" s="119" t="str">
        <f t="shared" si="2"/>
        <v/>
      </c>
      <c r="AD52" s="117" t="str">
        <f>IFERROR(IF(AND(S51="Impacto",S52="Impacto"),(AD45-(+AD45*V52)),IF(S52="Impacto",($O$51-(+$O$51*V52)),IF(S52="Probabilidad",AD45,""))),"")</f>
        <v/>
      </c>
      <c r="AE52" s="120" t="str">
        <f t="shared" ref="AE52:AE53" si="44">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6"/>
      <c r="AG52" s="121"/>
      <c r="AH52" s="122"/>
      <c r="AI52" s="123"/>
      <c r="AJ52" s="123"/>
      <c r="AK52" s="121"/>
      <c r="AL52" s="122"/>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22"/>
      <c r="B53" s="139"/>
      <c r="C53" s="139"/>
      <c r="D53" s="223"/>
      <c r="E53" s="213"/>
      <c r="F53" s="141"/>
      <c r="G53" s="223"/>
      <c r="H53" s="140"/>
      <c r="I53" s="224"/>
      <c r="J53" s="220"/>
      <c r="K53" s="219"/>
      <c r="L53" s="218"/>
      <c r="M53" s="219">
        <f t="shared" ca="1" si="41"/>
        <v>0</v>
      </c>
      <c r="N53" s="220"/>
      <c r="O53" s="219"/>
      <c r="P53" s="221"/>
      <c r="Q53" s="113">
        <v>3</v>
      </c>
      <c r="R53" s="126"/>
      <c r="S53" s="115" t="str">
        <f>IF(OR(T53="Preventivo",T53="Detectivo"),"Probabilidad",IF(T53="Correctivo","Impacto",""))</f>
        <v/>
      </c>
      <c r="T53" s="116"/>
      <c r="U53" s="116"/>
      <c r="V53" s="117" t="str">
        <f t="shared" si="42"/>
        <v/>
      </c>
      <c r="W53" s="116"/>
      <c r="X53" s="116"/>
      <c r="Y53" s="116"/>
      <c r="Z53" s="118" t="str">
        <f>IFERROR(IF(AND(S52="Probabilidad",S53="Probabilidad"),(AB52-(+AB52*V53)),IF(AND(S52="Impacto",S53="Probabilidad"),(AB51-(+AB51*V53)),IF(S53="Impacto",AB52,""))),"")</f>
        <v/>
      </c>
      <c r="AA53" s="119" t="str">
        <f t="shared" si="0"/>
        <v/>
      </c>
      <c r="AB53" s="117" t="str">
        <f t="shared" si="43"/>
        <v/>
      </c>
      <c r="AC53" s="119" t="str">
        <f t="shared" si="2"/>
        <v/>
      </c>
      <c r="AD53" s="117" t="str">
        <f>IFERROR(IF(AND(S52="Impacto",S53="Impacto"),(AD52-(+AD52*V53)),IF(AND(S52="Probabilidad",S53="Impacto"),(AD51-(+AD51*V53)),IF(S53="Probabilidad",AD52,""))),"")</f>
        <v/>
      </c>
      <c r="AE53" s="120" t="str">
        <f t="shared" si="44"/>
        <v/>
      </c>
      <c r="AF53" s="116"/>
      <c r="AG53" s="121"/>
      <c r="AH53" s="122"/>
      <c r="AI53" s="123"/>
      <c r="AJ53" s="123"/>
      <c r="AK53" s="121"/>
      <c r="AL53" s="122"/>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22"/>
      <c r="B54" s="139"/>
      <c r="C54" s="139"/>
      <c r="D54" s="223"/>
      <c r="E54" s="213"/>
      <c r="F54" s="141"/>
      <c r="G54" s="223"/>
      <c r="H54" s="140"/>
      <c r="I54" s="224"/>
      <c r="J54" s="220"/>
      <c r="K54" s="219"/>
      <c r="L54" s="218"/>
      <c r="M54" s="219">
        <f t="shared" ca="1" si="41"/>
        <v>0</v>
      </c>
      <c r="N54" s="220"/>
      <c r="O54" s="219"/>
      <c r="P54" s="221"/>
      <c r="Q54" s="113">
        <v>4</v>
      </c>
      <c r="R54" s="114"/>
      <c r="S54" s="115" t="str">
        <f t="shared" ref="S54:S56" si="45">IF(OR(T54="Preventivo",T54="Detectivo"),"Probabilidad",IF(T54="Correctivo","Impacto",""))</f>
        <v/>
      </c>
      <c r="T54" s="116"/>
      <c r="U54" s="116"/>
      <c r="V54" s="117" t="str">
        <f t="shared" si="42"/>
        <v/>
      </c>
      <c r="W54" s="116"/>
      <c r="X54" s="116"/>
      <c r="Y54" s="116"/>
      <c r="Z54" s="118" t="str">
        <f t="shared" ref="Z54:Z56" si="46">IFERROR(IF(AND(S53="Probabilidad",S54="Probabilidad"),(AB53-(+AB53*V54)),IF(AND(S53="Impacto",S54="Probabilidad"),(AB52-(+AB52*V54)),IF(S54="Impacto",AB53,""))),"")</f>
        <v/>
      </c>
      <c r="AA54" s="119" t="str">
        <f t="shared" si="0"/>
        <v/>
      </c>
      <c r="AB54" s="117" t="str">
        <f t="shared" si="43"/>
        <v/>
      </c>
      <c r="AC54" s="119" t="str">
        <f t="shared" si="2"/>
        <v/>
      </c>
      <c r="AD54" s="117" t="str">
        <f t="shared" ref="AD54:AD56" si="47">IFERROR(IF(AND(S53="Impacto",S54="Impacto"),(AD53-(+AD53*V54)),IF(AND(S53="Probabilidad",S54="Impacto"),(AD52-(+AD52*V54)),IF(S54="Probabilidad",AD53,""))),"")</f>
        <v/>
      </c>
      <c r="AE54" s="120" t="str">
        <f>IFERROR(IF(OR(AND(AA54="Muy Baja",AC54="Leve"),AND(AA54="Muy Baja",AC54="Menor"),AND(AA54="Baja",AC54="Leve")),"Bajo",IF(OR(AND(AA54="Muy baja",AC54="Moderado"),AND(AA54="Baja",AC54="Menor"),AND(AA54="Baja",AC54="Moderado"),AND(AA54="Media",AC54="Leve"),AND(AA54="Media",AC54="Menor"),AND(AA54="Media",AC54="Moderado"),AND(AA54="Alta",AC54="Leve"),AND(AA54="Alta",AC54="Menor")),"Moderado",IF(OR(AND(AA54="Muy Baja",AC54="Mayor"),AND(AA54="Baja",AC54="Mayor"),AND(AA54="Media",AC54="Mayor"),AND(AA54="Alta",AC54="Moderado"),AND(AA54="Alta",AC54="Mayor"),AND(AA54="Muy Alta",AC54="Leve"),AND(AA54="Muy Alta",AC54="Menor"),AND(AA54="Muy Alta",AC54="Moderado"),AND(AA54="Muy Alta",AC54="Mayor")),"Alto",IF(OR(AND(AA54="Muy Baja",AC54="Catastrófico"),AND(AA54="Baja",AC54="Catastrófico"),AND(AA54="Media",AC54="Catastrófico"),AND(AA54="Alta",AC54="Catastrófico"),AND(AA54="Muy Alta",AC54="Catastrófico")),"Extremo","")))),"")</f>
        <v/>
      </c>
      <c r="AF54" s="116"/>
      <c r="AG54" s="121"/>
      <c r="AH54" s="122"/>
      <c r="AI54" s="123"/>
      <c r="AJ54" s="123"/>
      <c r="AK54" s="121"/>
      <c r="AL54" s="122"/>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22"/>
      <c r="B55" s="139"/>
      <c r="C55" s="139"/>
      <c r="D55" s="223"/>
      <c r="E55" s="213"/>
      <c r="F55" s="141"/>
      <c r="G55" s="223"/>
      <c r="H55" s="140"/>
      <c r="I55" s="224"/>
      <c r="J55" s="220"/>
      <c r="K55" s="219"/>
      <c r="L55" s="218"/>
      <c r="M55" s="219">
        <f t="shared" ca="1" si="41"/>
        <v>0</v>
      </c>
      <c r="N55" s="220"/>
      <c r="O55" s="219"/>
      <c r="P55" s="221"/>
      <c r="Q55" s="113">
        <v>5</v>
      </c>
      <c r="R55" s="114"/>
      <c r="S55" s="115" t="str">
        <f t="shared" si="45"/>
        <v/>
      </c>
      <c r="T55" s="116"/>
      <c r="U55" s="116"/>
      <c r="V55" s="117" t="str">
        <f t="shared" si="42"/>
        <v/>
      </c>
      <c r="W55" s="116"/>
      <c r="X55" s="116"/>
      <c r="Y55" s="116"/>
      <c r="Z55" s="118" t="str">
        <f t="shared" si="46"/>
        <v/>
      </c>
      <c r="AA55" s="119" t="str">
        <f t="shared" si="0"/>
        <v/>
      </c>
      <c r="AB55" s="117" t="str">
        <f t="shared" si="43"/>
        <v/>
      </c>
      <c r="AC55" s="119" t="str">
        <f t="shared" si="2"/>
        <v/>
      </c>
      <c r="AD55" s="117" t="str">
        <f t="shared" si="47"/>
        <v/>
      </c>
      <c r="AE55" s="120" t="str">
        <f t="shared" ref="AE55:AE56" si="48">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6"/>
      <c r="AG55" s="121"/>
      <c r="AH55" s="122"/>
      <c r="AI55" s="123"/>
      <c r="AJ55" s="123"/>
      <c r="AK55" s="121"/>
      <c r="AL55" s="122"/>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22"/>
      <c r="B56" s="139"/>
      <c r="C56" s="139"/>
      <c r="D56" s="223"/>
      <c r="E56" s="213"/>
      <c r="F56" s="141"/>
      <c r="G56" s="223"/>
      <c r="H56" s="140"/>
      <c r="I56" s="224"/>
      <c r="J56" s="220"/>
      <c r="K56" s="219"/>
      <c r="L56" s="218"/>
      <c r="M56" s="219">
        <f t="shared" ca="1" si="41"/>
        <v>0</v>
      </c>
      <c r="N56" s="220"/>
      <c r="O56" s="219"/>
      <c r="P56" s="221"/>
      <c r="Q56" s="113">
        <v>6</v>
      </c>
      <c r="R56" s="114"/>
      <c r="S56" s="115" t="str">
        <f t="shared" si="45"/>
        <v/>
      </c>
      <c r="T56" s="116"/>
      <c r="U56" s="116"/>
      <c r="V56" s="117" t="str">
        <f t="shared" si="42"/>
        <v/>
      </c>
      <c r="W56" s="116"/>
      <c r="X56" s="116"/>
      <c r="Y56" s="116"/>
      <c r="Z56" s="118" t="str">
        <f t="shared" si="46"/>
        <v/>
      </c>
      <c r="AA56" s="119" t="str">
        <f t="shared" si="0"/>
        <v/>
      </c>
      <c r="AB56" s="117" t="str">
        <f t="shared" si="43"/>
        <v/>
      </c>
      <c r="AC56" s="119" t="str">
        <f t="shared" si="2"/>
        <v/>
      </c>
      <c r="AD56" s="117" t="str">
        <f t="shared" si="47"/>
        <v/>
      </c>
      <c r="AE56" s="120" t="str">
        <f t="shared" si="48"/>
        <v/>
      </c>
      <c r="AF56" s="116"/>
      <c r="AG56" s="121"/>
      <c r="AH56" s="122"/>
      <c r="AI56" s="123"/>
      <c r="AJ56" s="123"/>
      <c r="AK56" s="121"/>
      <c r="AL56" s="122"/>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22">
        <v>8</v>
      </c>
      <c r="B57" s="139"/>
      <c r="C57" s="139"/>
      <c r="D57" s="223"/>
      <c r="E57" s="213"/>
      <c r="F57" s="141"/>
      <c r="G57" s="223"/>
      <c r="H57" s="140"/>
      <c r="I57" s="224"/>
      <c r="J57" s="220" t="str">
        <f>IF(I57&lt;=0,"",IF(I57&lt;=2,"Muy Baja",IF(I57&lt;=24,"Baja",IF(I57&lt;=500,"Media",IF(I57&lt;=5000,"Alta","Muy Alta")))))</f>
        <v/>
      </c>
      <c r="K57" s="219" t="str">
        <f>IF(J57="","",IF(J57="Muy Baja",0.2,IF(J57="Baja",0.4,IF(J57="Media",0.6,IF(J57="Alta",0.8,IF(J57="Muy Alta",1,))))))</f>
        <v/>
      </c>
      <c r="L57" s="218"/>
      <c r="M57" s="219">
        <f>IF(NOT(ISERROR(MATCH(L57,'Tabla Impacto'!$B$221:$B$223,0))),'Tabla Impacto'!$F$223&amp;"Por favor no seleccionar los criterios de impacto(Afectación Económica o presupuestal y Pérdida Reputacional)",L57)</f>
        <v>0</v>
      </c>
      <c r="N57" s="220" t="str">
        <f>IF(OR(M57='Tabla Impacto'!$C$11,M57='Tabla Impacto'!$D$11),"Leve",IF(OR(M57='Tabla Impacto'!$C$12,M57='Tabla Impacto'!$D$12),"Menor",IF(OR(M57='Tabla Impacto'!$C$13,M57='Tabla Impacto'!$D$13),"Moderado",IF(OR(M57='Tabla Impacto'!$C$14,M57='Tabla Impacto'!$D$14),"Mayor",IF(OR(M57='Tabla Impacto'!$C$15,M57='Tabla Impacto'!$D$15),"Catastrófico","")))))</f>
        <v/>
      </c>
      <c r="O57" s="219" t="str">
        <f>IF(N57="","",IF(N57="Leve",0.2,IF(N57="Menor",0.4,IF(N57="Moderado",0.6,IF(N57="Mayor",0.8,IF(N57="Catastrófico",1,))))))</f>
        <v/>
      </c>
      <c r="P57" s="221" t="str">
        <f>IF(OR(AND(J57="Muy Baja",N57="Leve"),AND(J57="Muy Baja",N57="Menor"),AND(J57="Baja",N57="Leve")),"Bajo",IF(OR(AND(J57="Muy baja",N57="Moderado"),AND(J57="Baja",N57="Menor"),AND(J57="Baja",N57="Moderado"),AND(J57="Media",N57="Leve"),AND(J57="Media",N57="Menor"),AND(J57="Media",N57="Moderado"),AND(J57="Alta",N57="Leve"),AND(J57="Alta",N57="Menor")),"Moderado",IF(OR(AND(J57="Muy Baja",N57="Mayor"),AND(J57="Baja",N57="Mayor"),AND(J57="Media",N57="Mayor"),AND(J57="Alta",N57="Moderado"),AND(J57="Alta",N57="Mayor"),AND(J57="Muy Alta",N57="Leve"),AND(J57="Muy Alta",N57="Menor"),AND(J57="Muy Alta",N57="Moderado"),AND(J57="Muy Alta",N57="Mayor")),"Alto",IF(OR(AND(J57="Muy Baja",N57="Catastrófico"),AND(J57="Baja",N57="Catastrófico"),AND(J57="Media",N57="Catastrófico"),AND(J57="Alta",N57="Catastrófico"),AND(J57="Muy Alta",N57="Catastrófico")),"Extremo",""))))</f>
        <v/>
      </c>
      <c r="Q57" s="113">
        <v>1</v>
      </c>
      <c r="R57" s="114"/>
      <c r="S57" s="115" t="str">
        <f>IF(OR(T57="Preventivo",T57="Detectivo"),"Probabilidad",IF(T57="Correctivo","Impacto",""))</f>
        <v/>
      </c>
      <c r="T57" s="116"/>
      <c r="U57" s="116"/>
      <c r="V57" s="117" t="str">
        <f>IF(AND(T57="Preventivo",U57="Automático"),"50%",IF(AND(T57="Preventivo",U57="Manual"),"40%",IF(AND(T57="Detectivo",U57="Automático"),"40%",IF(AND(T57="Detectivo",U57="Manual"),"30%",IF(AND(T57="Correctivo",U57="Automático"),"35%",IF(AND(T57="Correctivo",U57="Manual"),"25%",""))))))</f>
        <v/>
      </c>
      <c r="W57" s="116"/>
      <c r="X57" s="116"/>
      <c r="Y57" s="116"/>
      <c r="Z57" s="118" t="str">
        <f>IFERROR(IF(S57="Probabilidad",(K57-(+K57*V57)),IF(S57="Impacto",K57,"")),"")</f>
        <v/>
      </c>
      <c r="AA57" s="119" t="str">
        <f>IFERROR(IF(Z57="","",IF(Z57&lt;=0.2,"Muy Baja",IF(Z57&lt;=0.4,"Baja",IF(Z57&lt;=0.6,"Media",IF(Z57&lt;=0.8,"Alta","Muy Alta"))))),"")</f>
        <v/>
      </c>
      <c r="AB57" s="117" t="str">
        <f>+Z57</f>
        <v/>
      </c>
      <c r="AC57" s="119" t="str">
        <f>IFERROR(IF(AD57="","",IF(AD57&lt;=0.2,"Leve",IF(AD57&lt;=0.4,"Menor",IF(AD57&lt;=0.6,"Moderado",IF(AD57&lt;=0.8,"Mayor","Catastrófico"))))),"")</f>
        <v/>
      </c>
      <c r="AD57" s="117" t="str">
        <f>IFERROR(IF(S57="Impacto",(O57-(+O57*V57)),IF(S57="Probabilidad",O57,"")),"")</f>
        <v/>
      </c>
      <c r="AE57" s="120" t="str">
        <f>IFERROR(IF(OR(AND(AA57="Muy Baja",AC57="Leve"),AND(AA57="Muy Baja",AC57="Menor"),AND(AA57="Baja",AC57="Leve")),"Bajo",IF(OR(AND(AA57="Muy baja",AC57="Moderado"),AND(AA57="Baja",AC57="Menor"),AND(AA57="Baja",AC57="Moderado"),AND(AA57="Media",AC57="Leve"),AND(AA57="Media",AC57="Menor"),AND(AA57="Media",AC57="Moderado"),AND(AA57="Alta",AC57="Leve"),AND(AA57="Alta",AC57="Menor")),"Moderado",IF(OR(AND(AA57="Muy Baja",AC57="Mayor"),AND(AA57="Baja",AC57="Mayor"),AND(AA57="Media",AC57="Mayor"),AND(AA57="Alta",AC57="Moderado"),AND(AA57="Alta",AC57="Mayor"),AND(AA57="Muy Alta",AC57="Leve"),AND(AA57="Muy Alta",AC57="Menor"),AND(AA57="Muy Alta",AC57="Moderado"),AND(AA57="Muy Alta",AC57="Mayor")),"Alto",IF(OR(AND(AA57="Muy Baja",AC57="Catastrófico"),AND(AA57="Baja",AC57="Catastrófico"),AND(AA57="Media",AC57="Catastrófico"),AND(AA57="Alta",AC57="Catastrófico"),AND(AA57="Muy Alta",AC57="Catastrófico")),"Extremo","")))),"")</f>
        <v/>
      </c>
      <c r="AF57" s="116"/>
      <c r="AG57" s="121"/>
      <c r="AH57" s="122"/>
      <c r="AI57" s="123"/>
      <c r="AJ57" s="123"/>
      <c r="AK57" s="121"/>
      <c r="AL57" s="122"/>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22"/>
      <c r="B58" s="139"/>
      <c r="C58" s="139"/>
      <c r="D58" s="223"/>
      <c r="E58" s="213"/>
      <c r="F58" s="141"/>
      <c r="G58" s="223"/>
      <c r="H58" s="140"/>
      <c r="I58" s="224"/>
      <c r="J58" s="220"/>
      <c r="K58" s="219"/>
      <c r="L58" s="218"/>
      <c r="M58" s="219">
        <f ca="1">IF(NOT(ISERROR(MATCH(L58,_xlfn.ANCHORARRAY(E69),0))),K71&amp;"Por favor no seleccionar los criterios de impacto",L58)</f>
        <v>0</v>
      </c>
      <c r="N58" s="220"/>
      <c r="O58" s="219"/>
      <c r="P58" s="221"/>
      <c r="Q58" s="113">
        <v>2</v>
      </c>
      <c r="R58" s="114"/>
      <c r="S58" s="115" t="str">
        <f>IF(OR(T58="Preventivo",T58="Detectivo"),"Probabilidad",IF(T58="Correctivo","Impacto",""))</f>
        <v/>
      </c>
      <c r="T58" s="116"/>
      <c r="U58" s="116"/>
      <c r="V58" s="117" t="str">
        <f t="shared" ref="V58:V62" si="49">IF(AND(T58="Preventivo",U58="Automático"),"50%",IF(AND(T58="Preventivo",U58="Manual"),"40%",IF(AND(T58="Detectivo",U58="Automático"),"40%",IF(AND(T58="Detectivo",U58="Manual"),"30%",IF(AND(T58="Correctivo",U58="Automático"),"35%",IF(AND(T58="Correctivo",U58="Manual"),"25%",""))))))</f>
        <v/>
      </c>
      <c r="W58" s="116"/>
      <c r="X58" s="116"/>
      <c r="Y58" s="116"/>
      <c r="Z58" s="118" t="str">
        <f>IFERROR(IF(AND(S57="Probabilidad",S58="Probabilidad"),(AB57-(+AB57*V58)),IF(S58="Probabilidad",(K57-(+K57*V58)),IF(S58="Impacto",AB57,""))),"")</f>
        <v/>
      </c>
      <c r="AA58" s="119" t="str">
        <f t="shared" si="0"/>
        <v/>
      </c>
      <c r="AB58" s="117" t="str">
        <f t="shared" ref="AB58:AB62" si="50">+Z58</f>
        <v/>
      </c>
      <c r="AC58" s="119" t="str">
        <f t="shared" si="2"/>
        <v/>
      </c>
      <c r="AD58" s="117" t="str">
        <f>IFERROR(IF(AND(S57="Impacto",S58="Impacto"),(AD51-(+AD51*V58)),IF(S58="Impacto",($O$57-(+$O$57*V58)),IF(S58="Probabilidad",AD51,""))),"")</f>
        <v/>
      </c>
      <c r="AE58" s="120" t="str">
        <f t="shared" ref="AE58:AE59" si="51">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6"/>
      <c r="AG58" s="121"/>
      <c r="AH58" s="122"/>
      <c r="AI58" s="123"/>
      <c r="AJ58" s="123"/>
      <c r="AK58" s="121"/>
      <c r="AL58" s="122"/>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22"/>
      <c r="B59" s="139"/>
      <c r="C59" s="139"/>
      <c r="D59" s="223"/>
      <c r="E59" s="213"/>
      <c r="F59" s="141"/>
      <c r="G59" s="223"/>
      <c r="H59" s="140"/>
      <c r="I59" s="224"/>
      <c r="J59" s="220"/>
      <c r="K59" s="219"/>
      <c r="L59" s="218"/>
      <c r="M59" s="219">
        <f ca="1">IF(NOT(ISERROR(MATCH(L59,_xlfn.ANCHORARRAY(E70),0))),K72&amp;"Por favor no seleccionar los criterios de impacto",L59)</f>
        <v>0</v>
      </c>
      <c r="N59" s="220"/>
      <c r="O59" s="219"/>
      <c r="P59" s="221"/>
      <c r="Q59" s="113">
        <v>3</v>
      </c>
      <c r="R59" s="126"/>
      <c r="S59" s="115" t="str">
        <f>IF(OR(T59="Preventivo",T59="Detectivo"),"Probabilidad",IF(T59="Correctivo","Impacto",""))</f>
        <v/>
      </c>
      <c r="T59" s="116"/>
      <c r="U59" s="116"/>
      <c r="V59" s="117" t="str">
        <f t="shared" si="49"/>
        <v/>
      </c>
      <c r="W59" s="116"/>
      <c r="X59" s="116"/>
      <c r="Y59" s="116"/>
      <c r="Z59" s="118" t="str">
        <f>IFERROR(IF(AND(S58="Probabilidad",S59="Probabilidad"),(AB58-(+AB58*V59)),IF(AND(S58="Impacto",S59="Probabilidad"),(AB57-(+AB57*V59)),IF(S59="Impacto",AB58,""))),"")</f>
        <v/>
      </c>
      <c r="AA59" s="119" t="str">
        <f t="shared" si="0"/>
        <v/>
      </c>
      <c r="AB59" s="117" t="str">
        <f t="shared" si="50"/>
        <v/>
      </c>
      <c r="AC59" s="119" t="str">
        <f t="shared" si="2"/>
        <v/>
      </c>
      <c r="AD59" s="117" t="str">
        <f>IFERROR(IF(AND(S58="Impacto",S59="Impacto"),(AD58-(+AD58*V59)),IF(AND(S58="Probabilidad",S59="Impacto"),(AD57-(+AD57*V59)),IF(S59="Probabilidad",AD58,""))),"")</f>
        <v/>
      </c>
      <c r="AE59" s="120" t="str">
        <f t="shared" si="51"/>
        <v/>
      </c>
      <c r="AF59" s="116"/>
      <c r="AG59" s="121"/>
      <c r="AH59" s="122"/>
      <c r="AI59" s="123"/>
      <c r="AJ59" s="123"/>
      <c r="AK59" s="121"/>
      <c r="AL59" s="122"/>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22"/>
      <c r="B60" s="139"/>
      <c r="C60" s="139"/>
      <c r="D60" s="223"/>
      <c r="E60" s="213"/>
      <c r="F60" s="141"/>
      <c r="G60" s="223"/>
      <c r="H60" s="140"/>
      <c r="I60" s="224"/>
      <c r="J60" s="220"/>
      <c r="K60" s="219"/>
      <c r="L60" s="218"/>
      <c r="M60" s="219">
        <f ca="1">IF(NOT(ISERROR(MATCH(L60,_xlfn.ANCHORARRAY(E71),0))),K73&amp;"Por favor no seleccionar los criterios de impacto",L60)</f>
        <v>0</v>
      </c>
      <c r="N60" s="220"/>
      <c r="O60" s="219"/>
      <c r="P60" s="221"/>
      <c r="Q60" s="113">
        <v>4</v>
      </c>
      <c r="R60" s="114"/>
      <c r="S60" s="115" t="str">
        <f t="shared" ref="S60:S62" si="52">IF(OR(T60="Preventivo",T60="Detectivo"),"Probabilidad",IF(T60="Correctivo","Impacto",""))</f>
        <v/>
      </c>
      <c r="T60" s="116"/>
      <c r="U60" s="116"/>
      <c r="V60" s="117" t="str">
        <f t="shared" si="49"/>
        <v/>
      </c>
      <c r="W60" s="116"/>
      <c r="X60" s="116"/>
      <c r="Y60" s="116"/>
      <c r="Z60" s="118" t="str">
        <f t="shared" ref="Z60:Z62" si="53">IFERROR(IF(AND(S59="Probabilidad",S60="Probabilidad"),(AB59-(+AB59*V60)),IF(AND(S59="Impacto",S60="Probabilidad"),(AB58-(+AB58*V60)),IF(S60="Impacto",AB59,""))),"")</f>
        <v/>
      </c>
      <c r="AA60" s="119" t="str">
        <f t="shared" si="0"/>
        <v/>
      </c>
      <c r="AB60" s="117" t="str">
        <f t="shared" si="50"/>
        <v/>
      </c>
      <c r="AC60" s="119" t="str">
        <f t="shared" si="2"/>
        <v/>
      </c>
      <c r="AD60" s="117" t="str">
        <f t="shared" ref="AD60:AD62" si="54">IFERROR(IF(AND(S59="Impacto",S60="Impacto"),(AD59-(+AD59*V60)),IF(AND(S59="Probabilidad",S60="Impacto"),(AD58-(+AD58*V60)),IF(S60="Probabilidad",AD59,""))),"")</f>
        <v/>
      </c>
      <c r="AE60" s="120" t="str">
        <f>IFERROR(IF(OR(AND(AA60="Muy Baja",AC60="Leve"),AND(AA60="Muy Baja",AC60="Menor"),AND(AA60="Baja",AC60="Leve")),"Bajo",IF(OR(AND(AA60="Muy baja",AC60="Moderado"),AND(AA60="Baja",AC60="Menor"),AND(AA60="Baja",AC60="Moderado"),AND(AA60="Media",AC60="Leve"),AND(AA60="Media",AC60="Menor"),AND(AA60="Media",AC60="Moderado"),AND(AA60="Alta",AC60="Leve"),AND(AA60="Alta",AC60="Menor")),"Moderado",IF(OR(AND(AA60="Muy Baja",AC60="Mayor"),AND(AA60="Baja",AC60="Mayor"),AND(AA60="Media",AC60="Mayor"),AND(AA60="Alta",AC60="Moderado"),AND(AA60="Alta",AC60="Mayor"),AND(AA60="Muy Alta",AC60="Leve"),AND(AA60="Muy Alta",AC60="Menor"),AND(AA60="Muy Alta",AC60="Moderado"),AND(AA60="Muy Alta",AC60="Mayor")),"Alto",IF(OR(AND(AA60="Muy Baja",AC60="Catastrófico"),AND(AA60="Baja",AC60="Catastrófico"),AND(AA60="Media",AC60="Catastrófico"),AND(AA60="Alta",AC60="Catastrófico"),AND(AA60="Muy Alta",AC60="Catastrófico")),"Extremo","")))),"")</f>
        <v/>
      </c>
      <c r="AF60" s="116"/>
      <c r="AG60" s="121"/>
      <c r="AH60" s="122"/>
      <c r="AI60" s="123"/>
      <c r="AJ60" s="123"/>
      <c r="AK60" s="121"/>
      <c r="AL60" s="122"/>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22"/>
      <c r="B61" s="139"/>
      <c r="C61" s="139"/>
      <c r="D61" s="223"/>
      <c r="E61" s="213"/>
      <c r="F61" s="141"/>
      <c r="G61" s="223"/>
      <c r="H61" s="140"/>
      <c r="I61" s="224"/>
      <c r="J61" s="220"/>
      <c r="K61" s="219"/>
      <c r="L61" s="218"/>
      <c r="M61" s="219">
        <f ca="1">IF(NOT(ISERROR(MATCH(L61,_xlfn.ANCHORARRAY(E72),0))),K74&amp;"Por favor no seleccionar los criterios de impacto",L61)</f>
        <v>0</v>
      </c>
      <c r="N61" s="220"/>
      <c r="O61" s="219"/>
      <c r="P61" s="221"/>
      <c r="Q61" s="113">
        <v>5</v>
      </c>
      <c r="R61" s="114"/>
      <c r="S61" s="115" t="str">
        <f t="shared" si="52"/>
        <v/>
      </c>
      <c r="T61" s="116"/>
      <c r="U61" s="116"/>
      <c r="V61" s="117" t="str">
        <f t="shared" si="49"/>
        <v/>
      </c>
      <c r="W61" s="116"/>
      <c r="X61" s="116"/>
      <c r="Y61" s="116"/>
      <c r="Z61" s="118" t="str">
        <f t="shared" si="53"/>
        <v/>
      </c>
      <c r="AA61" s="119" t="str">
        <f t="shared" si="0"/>
        <v/>
      </c>
      <c r="AB61" s="117" t="str">
        <f t="shared" si="50"/>
        <v/>
      </c>
      <c r="AC61" s="119" t="str">
        <f t="shared" si="2"/>
        <v/>
      </c>
      <c r="AD61" s="117" t="str">
        <f t="shared" si="54"/>
        <v/>
      </c>
      <c r="AE61" s="120" t="str">
        <f t="shared" ref="AE61:AE62" si="55">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6"/>
      <c r="AG61" s="121"/>
      <c r="AH61" s="122"/>
      <c r="AI61" s="123"/>
      <c r="AJ61" s="123"/>
      <c r="AK61" s="121"/>
      <c r="AL61" s="122"/>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22"/>
      <c r="B62" s="139"/>
      <c r="C62" s="139"/>
      <c r="D62" s="223"/>
      <c r="E62" s="213"/>
      <c r="F62" s="141"/>
      <c r="G62" s="223"/>
      <c r="H62" s="140"/>
      <c r="I62" s="224"/>
      <c r="J62" s="220"/>
      <c r="K62" s="219"/>
      <c r="L62" s="218"/>
      <c r="M62" s="219">
        <f ca="1">IF(NOT(ISERROR(MATCH(L62,_xlfn.ANCHORARRAY(E73),0))),K76&amp;"Por favor no seleccionar los criterios de impacto",L62)</f>
        <v>0</v>
      </c>
      <c r="N62" s="220"/>
      <c r="O62" s="219"/>
      <c r="P62" s="221"/>
      <c r="Q62" s="113">
        <v>6</v>
      </c>
      <c r="R62" s="114"/>
      <c r="S62" s="115" t="str">
        <f t="shared" si="52"/>
        <v/>
      </c>
      <c r="T62" s="116"/>
      <c r="U62" s="116"/>
      <c r="V62" s="117" t="str">
        <f t="shared" si="49"/>
        <v/>
      </c>
      <c r="W62" s="116"/>
      <c r="X62" s="116"/>
      <c r="Y62" s="116"/>
      <c r="Z62" s="118" t="str">
        <f t="shared" si="53"/>
        <v/>
      </c>
      <c r="AA62" s="119" t="str">
        <f t="shared" si="0"/>
        <v/>
      </c>
      <c r="AB62" s="117" t="str">
        <f t="shared" si="50"/>
        <v/>
      </c>
      <c r="AC62" s="119" t="str">
        <f t="shared" si="2"/>
        <v/>
      </c>
      <c r="AD62" s="117" t="str">
        <f t="shared" si="54"/>
        <v/>
      </c>
      <c r="AE62" s="120" t="str">
        <f t="shared" si="55"/>
        <v/>
      </c>
      <c r="AF62" s="116"/>
      <c r="AG62" s="121"/>
      <c r="AH62" s="122"/>
      <c r="AI62" s="123"/>
      <c r="AJ62" s="123"/>
      <c r="AK62" s="121"/>
      <c r="AL62" s="122"/>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row>
    <row r="63" spans="1:70" x14ac:dyDescent="0.3">
      <c r="A63" s="222">
        <v>9</v>
      </c>
      <c r="B63" s="139"/>
      <c r="C63" s="139"/>
      <c r="D63" s="223"/>
      <c r="E63" s="213"/>
      <c r="F63" s="141"/>
      <c r="G63" s="223"/>
      <c r="H63" s="140"/>
      <c r="I63" s="224"/>
      <c r="J63" s="220" t="str">
        <f>IF(I63&lt;=0,"",IF(I63&lt;=2,"Muy Baja",IF(I63&lt;=24,"Baja",IF(I63&lt;=500,"Media",IF(I63&lt;=5000,"Alta","Muy Alta")))))</f>
        <v/>
      </c>
      <c r="K63" s="219" t="str">
        <f>IF(J63="","",IF(J63="Muy Baja",0.2,IF(J63="Baja",0.4,IF(J63="Media",0.6,IF(J63="Alta",0.8,IF(J63="Muy Alta",1,))))))</f>
        <v/>
      </c>
      <c r="L63" s="218"/>
      <c r="M63" s="219">
        <f>IF(NOT(ISERROR(MATCH(L63,'Tabla Impacto'!$B$221:$B$223,0))),'Tabla Impacto'!$F$223&amp;"Por favor no seleccionar los criterios de impacto(Afectación Económica o presupuestal y Pérdida Reputacional)",L63)</f>
        <v>0</v>
      </c>
      <c r="N63" s="220" t="str">
        <f>IF(OR(M63='Tabla Impacto'!$C$11,M63='Tabla Impacto'!$D$11),"Leve",IF(OR(M63='Tabla Impacto'!$C$12,M63='Tabla Impacto'!$D$12),"Menor",IF(OR(M63='Tabla Impacto'!$C$13,M63='Tabla Impacto'!$D$13),"Moderado",IF(OR(M63='Tabla Impacto'!$C$14,M63='Tabla Impacto'!$D$14),"Mayor",IF(OR(M63='Tabla Impacto'!$C$15,M63='Tabla Impacto'!$D$15),"Catastrófico","")))))</f>
        <v/>
      </c>
      <c r="O63" s="219" t="str">
        <f>IF(N63="","",IF(N63="Leve",0.2,IF(N63="Menor",0.4,IF(N63="Moderado",0.6,IF(N63="Mayor",0.8,IF(N63="Catastrófico",1,))))))</f>
        <v/>
      </c>
      <c r="P63" s="221" t="str">
        <f>IF(OR(AND(J63="Muy Baja",N63="Leve"),AND(J63="Muy Baja",N63="Menor"),AND(J63="Baja",N63="Leve")),"Bajo",IF(OR(AND(J63="Muy baja",N63="Moderado"),AND(J63="Baja",N63="Menor"),AND(J63="Baja",N63="Moderado"),AND(J63="Media",N63="Leve"),AND(J63="Media",N63="Menor"),AND(J63="Media",N63="Moderado"),AND(J63="Alta",N63="Leve"),AND(J63="Alta",N63="Menor")),"Moderado",IF(OR(AND(J63="Muy Baja",N63="Mayor"),AND(J63="Baja",N63="Mayor"),AND(J63="Media",N63="Mayor"),AND(J63="Alta",N63="Moderado"),AND(J63="Alta",N63="Mayor"),AND(J63="Muy Alta",N63="Leve"),AND(J63="Muy Alta",N63="Menor"),AND(J63="Muy Alta",N63="Moderado"),AND(J63="Muy Alta",N63="Mayor")),"Alto",IF(OR(AND(J63="Muy Baja",N63="Catastrófico"),AND(J63="Baja",N63="Catastrófico"),AND(J63="Media",N63="Catastrófico"),AND(J63="Alta",N63="Catastrófico"),AND(J63="Muy Alta",N63="Catastrófico")),"Extremo",""))))</f>
        <v/>
      </c>
      <c r="Q63" s="113">
        <v>1</v>
      </c>
      <c r="R63" s="114"/>
      <c r="S63" s="115" t="str">
        <f>IF(OR(T63="Preventivo",T63="Detectivo"),"Probabilidad",IF(T63="Correctivo","Impacto",""))</f>
        <v/>
      </c>
      <c r="T63" s="116"/>
      <c r="U63" s="116"/>
      <c r="V63" s="117" t="str">
        <f>IF(AND(T63="Preventivo",U63="Automático"),"50%",IF(AND(T63="Preventivo",U63="Manual"),"40%",IF(AND(T63="Detectivo",U63="Automático"),"40%",IF(AND(T63="Detectivo",U63="Manual"),"30%",IF(AND(T63="Correctivo",U63="Automático"),"35%",IF(AND(T63="Correctivo",U63="Manual"),"25%",""))))))</f>
        <v/>
      </c>
      <c r="W63" s="116"/>
      <c r="X63" s="116"/>
      <c r="Y63" s="116"/>
      <c r="Z63" s="118" t="str">
        <f>IFERROR(IF(S63="Probabilidad",(K63-(+K63*V63)),IF(S63="Impacto",K63,"")),"")</f>
        <v/>
      </c>
      <c r="AA63" s="119" t="str">
        <f>IFERROR(IF(Z63="","",IF(Z63&lt;=0.2,"Muy Baja",IF(Z63&lt;=0.4,"Baja",IF(Z63&lt;=0.6,"Media",IF(Z63&lt;=0.8,"Alta","Muy Alta"))))),"")</f>
        <v/>
      </c>
      <c r="AB63" s="117" t="str">
        <f>+Z63</f>
        <v/>
      </c>
      <c r="AC63" s="119" t="str">
        <f>IFERROR(IF(AD63="","",IF(AD63&lt;=0.2,"Leve",IF(AD63&lt;=0.4,"Menor",IF(AD63&lt;=0.6,"Moderado",IF(AD63&lt;=0.8,"Mayor","Catastrófico"))))),"")</f>
        <v/>
      </c>
      <c r="AD63" s="117" t="str">
        <f>IFERROR(IF(S63="Impacto",(O63-(+O63*V63)),IF(S63="Probabilidad",O63,"")),"")</f>
        <v/>
      </c>
      <c r="AE63" s="120" t="str">
        <f>IFERROR(IF(OR(AND(AA63="Muy Baja",AC63="Leve"),AND(AA63="Muy Baja",AC63="Menor"),AND(AA63="Baja",AC63="Leve")),"Bajo",IF(OR(AND(AA63="Muy baja",AC63="Moderado"),AND(AA63="Baja",AC63="Menor"),AND(AA63="Baja",AC63="Moderado"),AND(AA63="Media",AC63="Leve"),AND(AA63="Media",AC63="Menor"),AND(AA63="Media",AC63="Moderado"),AND(AA63="Alta",AC63="Leve"),AND(AA63="Alta",AC63="Menor")),"Moderado",IF(OR(AND(AA63="Muy Baja",AC63="Mayor"),AND(AA63="Baja",AC63="Mayor"),AND(AA63="Media",AC63="Mayor"),AND(AA63="Alta",AC63="Moderado"),AND(AA63="Alta",AC63="Mayor"),AND(AA63="Muy Alta",AC63="Leve"),AND(AA63="Muy Alta",AC63="Menor"),AND(AA63="Muy Alta",AC63="Moderado"),AND(AA63="Muy Alta",AC63="Mayor")),"Alto",IF(OR(AND(AA63="Muy Baja",AC63="Catastrófico"),AND(AA63="Baja",AC63="Catastrófico"),AND(AA63="Media",AC63="Catastrófico"),AND(AA63="Alta",AC63="Catastrófico"),AND(AA63="Muy Alta",AC63="Catastrófico")),"Extremo","")))),"")</f>
        <v/>
      </c>
      <c r="AF63" s="116"/>
      <c r="AG63" s="121"/>
      <c r="AH63" s="122"/>
      <c r="AI63" s="123"/>
      <c r="AJ63" s="123"/>
      <c r="AK63" s="121"/>
      <c r="AL63" s="122"/>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row>
    <row r="64" spans="1:70" x14ac:dyDescent="0.3">
      <c r="A64" s="222"/>
      <c r="B64" s="139"/>
      <c r="C64" s="139"/>
      <c r="D64" s="223"/>
      <c r="E64" s="213"/>
      <c r="F64" s="141"/>
      <c r="G64" s="223"/>
      <c r="H64" s="140"/>
      <c r="I64" s="224"/>
      <c r="J64" s="220"/>
      <c r="K64" s="219"/>
      <c r="L64" s="218"/>
      <c r="M64" s="219">
        <f ca="1">IF(NOT(ISERROR(MATCH(L64,_xlfn.ANCHORARRAY(E76),0))),K78&amp;"Por favor no seleccionar los criterios de impacto",L64)</f>
        <v>0</v>
      </c>
      <c r="N64" s="220"/>
      <c r="O64" s="219"/>
      <c r="P64" s="221"/>
      <c r="Q64" s="113">
        <v>2</v>
      </c>
      <c r="R64" s="114"/>
      <c r="S64" s="115" t="str">
        <f>IF(OR(T64="Preventivo",T64="Detectivo"),"Probabilidad",IF(T64="Correctivo","Impacto",""))</f>
        <v/>
      </c>
      <c r="T64" s="116"/>
      <c r="U64" s="116"/>
      <c r="V64" s="117" t="str">
        <f t="shared" ref="V64:V68" si="56">IF(AND(T64="Preventivo",U64="Automático"),"50%",IF(AND(T64="Preventivo",U64="Manual"),"40%",IF(AND(T64="Detectivo",U64="Automático"),"40%",IF(AND(T64="Detectivo",U64="Manual"),"30%",IF(AND(T64="Correctivo",U64="Automático"),"35%",IF(AND(T64="Correctivo",U64="Manual"),"25%",""))))))</f>
        <v/>
      </c>
      <c r="W64" s="116"/>
      <c r="X64" s="116"/>
      <c r="Y64" s="116"/>
      <c r="Z64" s="118" t="str">
        <f>IFERROR(IF(AND(S63="Probabilidad",S64="Probabilidad"),(AB63-(+AB63*V64)),IF(S64="Probabilidad",(K63-(+K63*V64)),IF(S64="Impacto",AB63,""))),"")</f>
        <v/>
      </c>
      <c r="AA64" s="119" t="str">
        <f t="shared" si="0"/>
        <v/>
      </c>
      <c r="AB64" s="117" t="str">
        <f t="shared" ref="AB64:AB68" si="57">+Z64</f>
        <v/>
      </c>
      <c r="AC64" s="119" t="str">
        <f t="shared" si="2"/>
        <v/>
      </c>
      <c r="AD64" s="117" t="str">
        <f>IFERROR(IF(AND(S63="Impacto",S64="Impacto"),(AD57-(+AD57*V64)),IF(S64="Impacto",($O$63-(+$O$63*V64)),IF(S64="Probabilidad",AD57,""))),"")</f>
        <v/>
      </c>
      <c r="AE64" s="120" t="str">
        <f t="shared" ref="AE64:AE65" si="58">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6"/>
      <c r="AG64" s="121"/>
      <c r="AH64" s="122"/>
      <c r="AI64" s="123"/>
      <c r="AJ64" s="123"/>
      <c r="AK64" s="121"/>
      <c r="AL64" s="122"/>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row>
    <row r="65" spans="1:70" x14ac:dyDescent="0.3">
      <c r="A65" s="222"/>
      <c r="B65" s="139"/>
      <c r="C65" s="139"/>
      <c r="D65" s="223"/>
      <c r="E65" s="213"/>
      <c r="F65" s="141"/>
      <c r="G65" s="223"/>
      <c r="H65" s="140"/>
      <c r="I65" s="224"/>
      <c r="J65" s="220"/>
      <c r="K65" s="219"/>
      <c r="L65" s="218"/>
      <c r="M65" s="219">
        <f ca="1">IF(NOT(ISERROR(MATCH(L65,_xlfn.ANCHORARRAY(E77),0))),K79&amp;"Por favor no seleccionar los criterios de impacto",L65)</f>
        <v>0</v>
      </c>
      <c r="N65" s="220"/>
      <c r="O65" s="219"/>
      <c r="P65" s="221"/>
      <c r="Q65" s="113">
        <v>3</v>
      </c>
      <c r="R65" s="126"/>
      <c r="S65" s="115" t="str">
        <f>IF(OR(T65="Preventivo",T65="Detectivo"),"Probabilidad",IF(T65="Correctivo","Impacto",""))</f>
        <v/>
      </c>
      <c r="T65" s="116"/>
      <c r="U65" s="116"/>
      <c r="V65" s="117" t="str">
        <f t="shared" si="56"/>
        <v/>
      </c>
      <c r="W65" s="116"/>
      <c r="X65" s="116"/>
      <c r="Y65" s="116"/>
      <c r="Z65" s="118" t="str">
        <f>IFERROR(IF(AND(S64="Probabilidad",S65="Probabilidad"),(AB64-(+AB64*V65)),IF(AND(S64="Impacto",S65="Probabilidad"),(AB63-(+AB63*V65)),IF(S65="Impacto",AB64,""))),"")</f>
        <v/>
      </c>
      <c r="AA65" s="119" t="str">
        <f t="shared" si="0"/>
        <v/>
      </c>
      <c r="AB65" s="117" t="str">
        <f t="shared" si="57"/>
        <v/>
      </c>
      <c r="AC65" s="119" t="str">
        <f t="shared" si="2"/>
        <v/>
      </c>
      <c r="AD65" s="117" t="str">
        <f>IFERROR(IF(AND(S64="Impacto",S65="Impacto"),(AD64-(+AD64*V65)),IF(AND(S64="Probabilidad",S65="Impacto"),(AD63-(+AD63*V65)),IF(S65="Probabilidad",AD64,""))),"")</f>
        <v/>
      </c>
      <c r="AE65" s="120" t="str">
        <f t="shared" si="58"/>
        <v/>
      </c>
      <c r="AF65" s="116"/>
      <c r="AG65" s="121"/>
      <c r="AH65" s="122"/>
      <c r="AI65" s="123"/>
      <c r="AJ65" s="123"/>
      <c r="AK65" s="121"/>
      <c r="AL65" s="122"/>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row>
    <row r="66" spans="1:70" x14ac:dyDescent="0.3">
      <c r="A66" s="222"/>
      <c r="B66" s="139"/>
      <c r="C66" s="139"/>
      <c r="D66" s="223"/>
      <c r="E66" s="213"/>
      <c r="F66" s="141"/>
      <c r="G66" s="223"/>
      <c r="H66" s="140"/>
      <c r="I66" s="224"/>
      <c r="J66" s="220"/>
      <c r="K66" s="219"/>
      <c r="L66" s="218"/>
      <c r="M66" s="219">
        <f ca="1">IF(NOT(ISERROR(MATCH(L66,_xlfn.ANCHORARRAY(E78),0))),K80&amp;"Por favor no seleccionar los criterios de impacto",L66)</f>
        <v>0</v>
      </c>
      <c r="N66" s="220"/>
      <c r="O66" s="219"/>
      <c r="P66" s="221"/>
      <c r="Q66" s="113">
        <v>4</v>
      </c>
      <c r="R66" s="114"/>
      <c r="S66" s="115" t="str">
        <f t="shared" ref="S66:S68" si="59">IF(OR(T66="Preventivo",T66="Detectivo"),"Probabilidad",IF(T66="Correctivo","Impacto",""))</f>
        <v/>
      </c>
      <c r="T66" s="116"/>
      <c r="U66" s="116"/>
      <c r="V66" s="117" t="str">
        <f t="shared" si="56"/>
        <v/>
      </c>
      <c r="W66" s="116"/>
      <c r="X66" s="116"/>
      <c r="Y66" s="116"/>
      <c r="Z66" s="118" t="str">
        <f t="shared" ref="Z66:Z68" si="60">IFERROR(IF(AND(S65="Probabilidad",S66="Probabilidad"),(AB65-(+AB65*V66)),IF(AND(S65="Impacto",S66="Probabilidad"),(AB64-(+AB64*V66)),IF(S66="Impacto",AB65,""))),"")</f>
        <v/>
      </c>
      <c r="AA66" s="119" t="str">
        <f t="shared" si="0"/>
        <v/>
      </c>
      <c r="AB66" s="117" t="str">
        <f t="shared" si="57"/>
        <v/>
      </c>
      <c r="AC66" s="119" t="str">
        <f t="shared" si="2"/>
        <v/>
      </c>
      <c r="AD66" s="117" t="str">
        <f t="shared" ref="AD66:AD68" si="61">IFERROR(IF(AND(S65="Impacto",S66="Impacto"),(AD65-(+AD65*V66)),IF(AND(S65="Probabilidad",S66="Impacto"),(AD64-(+AD64*V66)),IF(S66="Probabilidad",AD65,""))),"")</f>
        <v/>
      </c>
      <c r="AE66" s="120" t="str">
        <f>IFERROR(IF(OR(AND(AA66="Muy Baja",AC66="Leve"),AND(AA66="Muy Baja",AC66="Menor"),AND(AA66="Baja",AC66="Leve")),"Bajo",IF(OR(AND(AA66="Muy baja",AC66="Moderado"),AND(AA66="Baja",AC66="Menor"),AND(AA66="Baja",AC66="Moderado"),AND(AA66="Media",AC66="Leve"),AND(AA66="Media",AC66="Menor"),AND(AA66="Media",AC66="Moderado"),AND(AA66="Alta",AC66="Leve"),AND(AA66="Alta",AC66="Menor")),"Moderado",IF(OR(AND(AA66="Muy Baja",AC66="Mayor"),AND(AA66="Baja",AC66="Mayor"),AND(AA66="Media",AC66="Mayor"),AND(AA66="Alta",AC66="Moderado"),AND(AA66="Alta",AC66="Mayor"),AND(AA66="Muy Alta",AC66="Leve"),AND(AA66="Muy Alta",AC66="Menor"),AND(AA66="Muy Alta",AC66="Moderado"),AND(AA66="Muy Alta",AC66="Mayor")),"Alto",IF(OR(AND(AA66="Muy Baja",AC66="Catastrófico"),AND(AA66="Baja",AC66="Catastrófico"),AND(AA66="Media",AC66="Catastrófico"),AND(AA66="Alta",AC66="Catastrófico"),AND(AA66="Muy Alta",AC66="Catastrófico")),"Extremo","")))),"")</f>
        <v/>
      </c>
      <c r="AF66" s="116"/>
      <c r="AG66" s="121"/>
      <c r="AH66" s="122"/>
      <c r="AI66" s="123"/>
      <c r="AJ66" s="123"/>
      <c r="AK66" s="121"/>
      <c r="AL66" s="122"/>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row>
    <row r="67" spans="1:70" x14ac:dyDescent="0.3">
      <c r="A67" s="222"/>
      <c r="B67" s="139"/>
      <c r="C67" s="139"/>
      <c r="D67" s="223"/>
      <c r="E67" s="213"/>
      <c r="F67" s="141"/>
      <c r="G67" s="223"/>
      <c r="H67" s="140"/>
      <c r="I67" s="224"/>
      <c r="J67" s="220"/>
      <c r="K67" s="219"/>
      <c r="L67" s="218"/>
      <c r="M67" s="219">
        <f ca="1">IF(NOT(ISERROR(MATCH(L67,_xlfn.ANCHORARRAY(E79),0))),K81&amp;"Por favor no seleccionar los criterios de impacto",L67)</f>
        <v>0</v>
      </c>
      <c r="N67" s="220"/>
      <c r="O67" s="219"/>
      <c r="P67" s="221"/>
      <c r="Q67" s="113">
        <v>5</v>
      </c>
      <c r="R67" s="114"/>
      <c r="S67" s="115" t="str">
        <f t="shared" si="59"/>
        <v/>
      </c>
      <c r="T67" s="116"/>
      <c r="U67" s="116"/>
      <c r="V67" s="117" t="str">
        <f t="shared" si="56"/>
        <v/>
      </c>
      <c r="W67" s="116"/>
      <c r="X67" s="116"/>
      <c r="Y67" s="116"/>
      <c r="Z67" s="118" t="str">
        <f t="shared" si="60"/>
        <v/>
      </c>
      <c r="AA67" s="119" t="str">
        <f t="shared" si="0"/>
        <v/>
      </c>
      <c r="AB67" s="117" t="str">
        <f t="shared" si="57"/>
        <v/>
      </c>
      <c r="AC67" s="119" t="str">
        <f t="shared" si="2"/>
        <v/>
      </c>
      <c r="AD67" s="117" t="str">
        <f t="shared" si="61"/>
        <v/>
      </c>
      <c r="AE67" s="120" t="str">
        <f t="shared" ref="AE67:AE68" si="62">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6"/>
      <c r="AG67" s="121"/>
      <c r="AH67" s="122"/>
      <c r="AI67" s="123"/>
      <c r="AJ67" s="123"/>
      <c r="AK67" s="121"/>
      <c r="AL67" s="122"/>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row>
    <row r="68" spans="1:70" x14ac:dyDescent="0.3">
      <c r="A68" s="222"/>
      <c r="B68" s="139"/>
      <c r="C68" s="139"/>
      <c r="D68" s="223"/>
      <c r="E68" s="213"/>
      <c r="F68" s="141"/>
      <c r="G68" s="223"/>
      <c r="H68" s="140"/>
      <c r="I68" s="224"/>
      <c r="J68" s="220"/>
      <c r="K68" s="219"/>
      <c r="L68" s="218"/>
      <c r="M68" s="219">
        <f ca="1">IF(NOT(ISERROR(MATCH(L68,_xlfn.ANCHORARRAY(E80),0))),K82&amp;"Por favor no seleccionar los criterios de impacto",L68)</f>
        <v>0</v>
      </c>
      <c r="N68" s="220"/>
      <c r="O68" s="219"/>
      <c r="P68" s="221"/>
      <c r="Q68" s="113">
        <v>6</v>
      </c>
      <c r="R68" s="114"/>
      <c r="S68" s="115" t="str">
        <f t="shared" si="59"/>
        <v/>
      </c>
      <c r="T68" s="116"/>
      <c r="U68" s="116"/>
      <c r="V68" s="117" t="str">
        <f t="shared" si="56"/>
        <v/>
      </c>
      <c r="W68" s="116"/>
      <c r="X68" s="116"/>
      <c r="Y68" s="116"/>
      <c r="Z68" s="118" t="str">
        <f t="shared" si="60"/>
        <v/>
      </c>
      <c r="AA68" s="119" t="str">
        <f t="shared" si="0"/>
        <v/>
      </c>
      <c r="AB68" s="117" t="str">
        <f t="shared" si="57"/>
        <v/>
      </c>
      <c r="AC68" s="119" t="str">
        <f t="shared" si="2"/>
        <v/>
      </c>
      <c r="AD68" s="117" t="str">
        <f t="shared" si="61"/>
        <v/>
      </c>
      <c r="AE68" s="120" t="str">
        <f t="shared" si="62"/>
        <v/>
      </c>
      <c r="AF68" s="116"/>
      <c r="AG68" s="121"/>
      <c r="AH68" s="122"/>
      <c r="AI68" s="123"/>
      <c r="AJ68" s="123"/>
      <c r="AK68" s="121"/>
      <c r="AL68" s="122"/>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row>
    <row r="69" spans="1:70" x14ac:dyDescent="0.3">
      <c r="A69" s="222">
        <v>10</v>
      </c>
      <c r="B69" s="139"/>
      <c r="C69" s="139"/>
      <c r="D69" s="223"/>
      <c r="E69" s="213"/>
      <c r="F69" s="141"/>
      <c r="G69" s="223"/>
      <c r="H69" s="140"/>
      <c r="I69" s="224"/>
      <c r="J69" s="220" t="str">
        <f>IF(I69&lt;=0,"",IF(I69&lt;=2,"Muy Baja",IF(I69&lt;=24,"Baja",IF(I69&lt;=500,"Media",IF(I69&lt;=5000,"Alta","Muy Alta")))))</f>
        <v/>
      </c>
      <c r="K69" s="219" t="str">
        <f>IF(J69="","",IF(J69="Muy Baja",0.2,IF(J69="Baja",0.4,IF(J69="Media",0.6,IF(J69="Alta",0.8,IF(J69="Muy Alta",1,))))))</f>
        <v/>
      </c>
      <c r="L69" s="218"/>
      <c r="M69" s="219">
        <f>IF(NOT(ISERROR(MATCH(L69,'Tabla Impacto'!$B$221:$B$223,0))),'Tabla Impacto'!$F$223&amp;"Por favor no seleccionar los criterios de impacto(Afectación Económica o presupuestal y Pérdida Reputacional)",L69)</f>
        <v>0</v>
      </c>
      <c r="N69" s="220" t="str">
        <f>IF(OR(M69='Tabla Impacto'!$C$11,M69='Tabla Impacto'!$D$11),"Leve",IF(OR(M69='Tabla Impacto'!$C$12,M69='Tabla Impacto'!$D$12),"Menor",IF(OR(M69='Tabla Impacto'!$C$13,M69='Tabla Impacto'!$D$13),"Moderado",IF(OR(M69='Tabla Impacto'!$C$14,M69='Tabla Impacto'!$D$14),"Mayor",IF(OR(M69='Tabla Impacto'!$C$15,M69='Tabla Impacto'!$D$15),"Catastrófico","")))))</f>
        <v/>
      </c>
      <c r="O69" s="219" t="str">
        <f>IF(N69="","",IF(N69="Leve",0.2,IF(N69="Menor",0.4,IF(N69="Moderado",0.6,IF(N69="Mayor",0.8,IF(N69="Catastrófico",1,))))))</f>
        <v/>
      </c>
      <c r="P69" s="221" t="str">
        <f>IF(OR(AND(J69="Muy Baja",N69="Leve"),AND(J69="Muy Baja",N69="Menor"),AND(J69="Baja",N69="Leve")),"Bajo",IF(OR(AND(J69="Muy baja",N69="Moderado"),AND(J69="Baja",N69="Menor"),AND(J69="Baja",N69="Moderado"),AND(J69="Media",N69="Leve"),AND(J69="Media",N69="Menor"),AND(J69="Media",N69="Moderado"),AND(J69="Alta",N69="Leve"),AND(J69="Alta",N69="Menor")),"Moderado",IF(OR(AND(J69="Muy Baja",N69="Mayor"),AND(J69="Baja",N69="Mayor"),AND(J69="Media",N69="Mayor"),AND(J69="Alta",N69="Moderado"),AND(J69="Alta",N69="Mayor"),AND(J69="Muy Alta",N69="Leve"),AND(J69="Muy Alta",N69="Menor"),AND(J69="Muy Alta",N69="Moderado"),AND(J69="Muy Alta",N69="Mayor")),"Alto",IF(OR(AND(J69="Muy Baja",N69="Catastrófico"),AND(J69="Baja",N69="Catastrófico"),AND(J69="Media",N69="Catastrófico"),AND(J69="Alta",N69="Catastrófico"),AND(J69="Muy Alta",N69="Catastrófico")),"Extremo",""))))</f>
        <v/>
      </c>
      <c r="Q69" s="113">
        <v>1</v>
      </c>
      <c r="R69" s="114"/>
      <c r="S69" s="115" t="str">
        <f>IF(OR(T69="Preventivo",T69="Detectivo"),"Probabilidad",IF(T69="Correctivo","Impacto",""))</f>
        <v/>
      </c>
      <c r="T69" s="116"/>
      <c r="U69" s="116"/>
      <c r="V69" s="117" t="str">
        <f>IF(AND(T69="Preventivo",U69="Automático"),"50%",IF(AND(T69="Preventivo",U69="Manual"),"40%",IF(AND(T69="Detectivo",U69="Automático"),"40%",IF(AND(T69="Detectivo",U69="Manual"),"30%",IF(AND(T69="Correctivo",U69="Automático"),"35%",IF(AND(T69="Correctivo",U69="Manual"),"25%",""))))))</f>
        <v/>
      </c>
      <c r="W69" s="116"/>
      <c r="X69" s="116"/>
      <c r="Y69" s="116"/>
      <c r="Z69" s="118" t="str">
        <f>IFERROR(IF(S69="Probabilidad",(K69-(+K69*V69)),IF(S69="Impacto",K69,"")),"")</f>
        <v/>
      </c>
      <c r="AA69" s="119" t="str">
        <f>IFERROR(IF(Z69="","",IF(Z69&lt;=0.2,"Muy Baja",IF(Z69&lt;=0.4,"Baja",IF(Z69&lt;=0.6,"Media",IF(Z69&lt;=0.8,"Alta","Muy Alta"))))),"")</f>
        <v/>
      </c>
      <c r="AB69" s="117" t="str">
        <f>+Z69</f>
        <v/>
      </c>
      <c r="AC69" s="119" t="str">
        <f>IFERROR(IF(AD69="","",IF(AD69&lt;=0.2,"Leve",IF(AD69&lt;=0.4,"Menor",IF(AD69&lt;=0.6,"Moderado",IF(AD69&lt;=0.8,"Mayor","Catastrófico"))))),"")</f>
        <v/>
      </c>
      <c r="AD69" s="117" t="str">
        <f>IFERROR(IF(S69="Impacto",(O69-(+O69*V69)),IF(S69="Probabilidad",O69,"")),"")</f>
        <v/>
      </c>
      <c r="AE69" s="120" t="str">
        <f>IFERROR(IF(OR(AND(AA69="Muy Baja",AC69="Leve"),AND(AA69="Muy Baja",AC69="Menor"),AND(AA69="Baja",AC69="Leve")),"Bajo",IF(OR(AND(AA69="Muy baja",AC69="Moderado"),AND(AA69="Baja",AC69="Menor"),AND(AA69="Baja",AC69="Moderado"),AND(AA69="Media",AC69="Leve"),AND(AA69="Media",AC69="Menor"),AND(AA69="Media",AC69="Moderado"),AND(AA69="Alta",AC69="Leve"),AND(AA69="Alta",AC69="Menor")),"Moderado",IF(OR(AND(AA69="Muy Baja",AC69="Mayor"),AND(AA69="Baja",AC69="Mayor"),AND(AA69="Media",AC69="Mayor"),AND(AA69="Alta",AC69="Moderado"),AND(AA69="Alta",AC69="Mayor"),AND(AA69="Muy Alta",AC69="Leve"),AND(AA69="Muy Alta",AC69="Menor"),AND(AA69="Muy Alta",AC69="Moderado"),AND(AA69="Muy Alta",AC69="Mayor")),"Alto",IF(OR(AND(AA69="Muy Baja",AC69="Catastrófico"),AND(AA69="Baja",AC69="Catastrófico"),AND(AA69="Media",AC69="Catastrófico"),AND(AA69="Alta",AC69="Catastrófico"),AND(AA69="Muy Alta",AC69="Catastrófico")),"Extremo","")))),"")</f>
        <v/>
      </c>
      <c r="AF69" s="116"/>
      <c r="AG69" s="121"/>
      <c r="AH69" s="122"/>
      <c r="AI69" s="123"/>
      <c r="AJ69" s="123"/>
      <c r="AK69" s="121"/>
      <c r="AL69" s="122"/>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row>
    <row r="70" spans="1:70" x14ac:dyDescent="0.3">
      <c r="A70" s="222"/>
      <c r="B70" s="139"/>
      <c r="C70" s="139"/>
      <c r="D70" s="223"/>
      <c r="E70" s="213"/>
      <c r="F70" s="141"/>
      <c r="G70" s="223"/>
      <c r="H70" s="140"/>
      <c r="I70" s="224"/>
      <c r="J70" s="220"/>
      <c r="K70" s="219"/>
      <c r="L70" s="218"/>
      <c r="M70" s="219">
        <f ca="1">IF(NOT(ISERROR(MATCH(L70,_xlfn.ANCHORARRAY(E82),0))),K84&amp;"Por favor no seleccionar los criterios de impacto",L70)</f>
        <v>0</v>
      </c>
      <c r="N70" s="220"/>
      <c r="O70" s="219"/>
      <c r="P70" s="221"/>
      <c r="Q70" s="113">
        <v>2</v>
      </c>
      <c r="R70" s="114"/>
      <c r="S70" s="115" t="str">
        <f>IF(OR(T70="Preventivo",T70="Detectivo"),"Probabilidad",IF(T70="Correctivo","Impacto",""))</f>
        <v/>
      </c>
      <c r="T70" s="116"/>
      <c r="U70" s="116"/>
      <c r="V70" s="117" t="str">
        <f t="shared" ref="V70:V74" si="63">IF(AND(T70="Preventivo",U70="Automático"),"50%",IF(AND(T70="Preventivo",U70="Manual"),"40%",IF(AND(T70="Detectivo",U70="Automático"),"40%",IF(AND(T70="Detectivo",U70="Manual"),"30%",IF(AND(T70="Correctivo",U70="Automático"),"35%",IF(AND(T70="Correctivo",U70="Manual"),"25%",""))))))</f>
        <v/>
      </c>
      <c r="W70" s="116"/>
      <c r="X70" s="116"/>
      <c r="Y70" s="116"/>
      <c r="Z70" s="118" t="str">
        <f>IFERROR(IF(AND(S69="Probabilidad",S70="Probabilidad"),(AB69-(+AB69*V70)),IF(S70="Probabilidad",(K69-(+K69*V70)),IF(S70="Impacto",AB69,""))),"")</f>
        <v/>
      </c>
      <c r="AA70" s="119" t="str">
        <f t="shared" si="0"/>
        <v/>
      </c>
      <c r="AB70" s="117" t="str">
        <f t="shared" ref="AB70:AB74" si="64">+Z70</f>
        <v/>
      </c>
      <c r="AC70" s="119" t="str">
        <f t="shared" si="2"/>
        <v/>
      </c>
      <c r="AD70" s="117" t="str">
        <f>IFERROR(IF(AND(S69="Impacto",S70="Impacto"),(AD63-(+AD63*V70)),IF(S70="Impacto",($O$69-(+$O$69*V70)),IF(S70="Probabilidad",AD63,""))),"")</f>
        <v/>
      </c>
      <c r="AE70" s="120" t="str">
        <f t="shared" ref="AE70:AE71" si="65">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6"/>
      <c r="AG70" s="121"/>
      <c r="AH70" s="122"/>
      <c r="AI70" s="123"/>
      <c r="AJ70" s="123"/>
      <c r="AK70" s="121"/>
      <c r="AL70" s="122"/>
    </row>
    <row r="71" spans="1:70" x14ac:dyDescent="0.3">
      <c r="A71" s="222"/>
      <c r="B71" s="139"/>
      <c r="C71" s="139"/>
      <c r="D71" s="223"/>
      <c r="E71" s="213"/>
      <c r="F71" s="141"/>
      <c r="G71" s="223"/>
      <c r="H71" s="140"/>
      <c r="I71" s="224"/>
      <c r="J71" s="220"/>
      <c r="K71" s="219"/>
      <c r="L71" s="218"/>
      <c r="M71" s="219">
        <f ca="1">IF(NOT(ISERROR(MATCH(L71,_xlfn.ANCHORARRAY(E83),0))),K85&amp;"Por favor no seleccionar los criterios de impacto",L71)</f>
        <v>0</v>
      </c>
      <c r="N71" s="220"/>
      <c r="O71" s="219"/>
      <c r="P71" s="221"/>
      <c r="Q71" s="113">
        <v>3</v>
      </c>
      <c r="R71" s="126"/>
      <c r="S71" s="115" t="str">
        <f>IF(OR(T71="Preventivo",T71="Detectivo"),"Probabilidad",IF(T71="Correctivo","Impacto",""))</f>
        <v/>
      </c>
      <c r="T71" s="116"/>
      <c r="U71" s="116"/>
      <c r="V71" s="117" t="str">
        <f t="shared" si="63"/>
        <v/>
      </c>
      <c r="W71" s="116"/>
      <c r="X71" s="116"/>
      <c r="Y71" s="116"/>
      <c r="Z71" s="118" t="str">
        <f>IFERROR(IF(AND(S70="Probabilidad",S71="Probabilidad"),(AB70-(+AB70*V71)),IF(AND(S70="Impacto",S71="Probabilidad"),(AB69-(+AB69*V71)),IF(S71="Impacto",AB70,""))),"")</f>
        <v/>
      </c>
      <c r="AA71" s="119" t="str">
        <f t="shared" si="0"/>
        <v/>
      </c>
      <c r="AB71" s="117" t="str">
        <f t="shared" si="64"/>
        <v/>
      </c>
      <c r="AC71" s="119" t="str">
        <f t="shared" si="2"/>
        <v/>
      </c>
      <c r="AD71" s="117" t="str">
        <f>IFERROR(IF(AND(S70="Impacto",S71="Impacto"),(AD70-(+AD70*V71)),IF(AND(S70="Probabilidad",S71="Impacto"),(AD69-(+AD69*V71)),IF(S71="Probabilidad",AD70,""))),"")</f>
        <v/>
      </c>
      <c r="AE71" s="120" t="str">
        <f t="shared" si="65"/>
        <v/>
      </c>
      <c r="AF71" s="116"/>
      <c r="AG71" s="121"/>
      <c r="AH71" s="122"/>
      <c r="AI71" s="123"/>
      <c r="AJ71" s="123"/>
      <c r="AK71" s="121"/>
      <c r="AL71" s="122"/>
    </row>
    <row r="72" spans="1:70" x14ac:dyDescent="0.3">
      <c r="A72" s="222"/>
      <c r="B72" s="139"/>
      <c r="C72" s="139"/>
      <c r="D72" s="223"/>
      <c r="E72" s="213"/>
      <c r="F72" s="141"/>
      <c r="G72" s="223"/>
      <c r="H72" s="140"/>
      <c r="I72" s="224"/>
      <c r="J72" s="220"/>
      <c r="K72" s="219"/>
      <c r="L72" s="218"/>
      <c r="M72" s="219">
        <f ca="1">IF(NOT(ISERROR(MATCH(L72,_xlfn.ANCHORARRAY(E84),0))),K86&amp;"Por favor no seleccionar los criterios de impacto",L72)</f>
        <v>0</v>
      </c>
      <c r="N72" s="220"/>
      <c r="O72" s="219"/>
      <c r="P72" s="221"/>
      <c r="Q72" s="113">
        <v>4</v>
      </c>
      <c r="R72" s="114"/>
      <c r="S72" s="115" t="str">
        <f t="shared" ref="S72:S74" si="66">IF(OR(T72="Preventivo",T72="Detectivo"),"Probabilidad",IF(T72="Correctivo","Impacto",""))</f>
        <v/>
      </c>
      <c r="T72" s="116"/>
      <c r="U72" s="116"/>
      <c r="V72" s="117" t="str">
        <f t="shared" si="63"/>
        <v/>
      </c>
      <c r="W72" s="116"/>
      <c r="X72" s="116"/>
      <c r="Y72" s="116"/>
      <c r="Z72" s="118" t="str">
        <f t="shared" ref="Z72:Z74" si="67">IFERROR(IF(AND(S71="Probabilidad",S72="Probabilidad"),(AB71-(+AB71*V72)),IF(AND(S71="Impacto",S72="Probabilidad"),(AB70-(+AB70*V72)),IF(S72="Impacto",AB71,""))),"")</f>
        <v/>
      </c>
      <c r="AA72" s="119" t="str">
        <f t="shared" si="0"/>
        <v/>
      </c>
      <c r="AB72" s="117" t="str">
        <f t="shared" si="64"/>
        <v/>
      </c>
      <c r="AC72" s="119" t="str">
        <f t="shared" si="2"/>
        <v/>
      </c>
      <c r="AD72" s="117" t="str">
        <f t="shared" ref="AD72:AD74" si="68">IFERROR(IF(AND(S71="Impacto",S72="Impacto"),(AD71-(+AD71*V72)),IF(AND(S71="Probabilidad",S72="Impacto"),(AD70-(+AD70*V72)),IF(S72="Probabilidad",AD71,""))),"")</f>
        <v/>
      </c>
      <c r="AE72" s="120" t="str">
        <f>IFERROR(IF(OR(AND(AA72="Muy Baja",AC72="Leve"),AND(AA72="Muy Baja",AC72="Menor"),AND(AA72="Baja",AC72="Leve")),"Bajo",IF(OR(AND(AA72="Muy baja",AC72="Moderado"),AND(AA72="Baja",AC72="Menor"),AND(AA72="Baja",AC72="Moderado"),AND(AA72="Media",AC72="Leve"),AND(AA72="Media",AC72="Menor"),AND(AA72="Media",AC72="Moderado"),AND(AA72="Alta",AC72="Leve"),AND(AA72="Alta",AC72="Menor")),"Moderado",IF(OR(AND(AA72="Muy Baja",AC72="Mayor"),AND(AA72="Baja",AC72="Mayor"),AND(AA72="Media",AC72="Mayor"),AND(AA72="Alta",AC72="Moderado"),AND(AA72="Alta",AC72="Mayor"),AND(AA72="Muy Alta",AC72="Leve"),AND(AA72="Muy Alta",AC72="Menor"),AND(AA72="Muy Alta",AC72="Moderado"),AND(AA72="Muy Alta",AC72="Mayor")),"Alto",IF(OR(AND(AA72="Muy Baja",AC72="Catastrófico"),AND(AA72="Baja",AC72="Catastrófico"),AND(AA72="Media",AC72="Catastrófico"),AND(AA72="Alta",AC72="Catastrófico"),AND(AA72="Muy Alta",AC72="Catastrófico")),"Extremo","")))),"")</f>
        <v/>
      </c>
      <c r="AF72" s="116"/>
      <c r="AG72" s="121"/>
      <c r="AH72" s="122"/>
      <c r="AI72" s="123"/>
      <c r="AJ72" s="123"/>
      <c r="AK72" s="121"/>
      <c r="AL72" s="122"/>
    </row>
    <row r="73" spans="1:70" x14ac:dyDescent="0.3">
      <c r="A73" s="222"/>
      <c r="B73" s="139"/>
      <c r="C73" s="139"/>
      <c r="D73" s="223"/>
      <c r="E73" s="213"/>
      <c r="F73" s="141"/>
      <c r="G73" s="223"/>
      <c r="H73" s="140"/>
      <c r="I73" s="224"/>
      <c r="J73" s="220"/>
      <c r="K73" s="219"/>
      <c r="L73" s="218"/>
      <c r="M73" s="219">
        <f ca="1">IF(NOT(ISERROR(MATCH(L73,_xlfn.ANCHORARRAY(E85),0))),K87&amp;"Por favor no seleccionar los criterios de impacto",L73)</f>
        <v>0</v>
      </c>
      <c r="N73" s="220"/>
      <c r="O73" s="219"/>
      <c r="P73" s="221"/>
      <c r="Q73" s="113">
        <v>5</v>
      </c>
      <c r="R73" s="114"/>
      <c r="S73" s="115" t="str">
        <f t="shared" si="66"/>
        <v/>
      </c>
      <c r="T73" s="116"/>
      <c r="U73" s="116"/>
      <c r="V73" s="117" t="str">
        <f t="shared" si="63"/>
        <v/>
      </c>
      <c r="W73" s="116"/>
      <c r="X73" s="116"/>
      <c r="Y73" s="116"/>
      <c r="Z73" s="118" t="str">
        <f t="shared" si="67"/>
        <v/>
      </c>
      <c r="AA73" s="119" t="str">
        <f t="shared" si="0"/>
        <v/>
      </c>
      <c r="AB73" s="117" t="str">
        <f t="shared" si="64"/>
        <v/>
      </c>
      <c r="AC73" s="119" t="str">
        <f t="shared" si="2"/>
        <v/>
      </c>
      <c r="AD73" s="117" t="str">
        <f t="shared" si="68"/>
        <v/>
      </c>
      <c r="AE73" s="120" t="str">
        <f t="shared" ref="AE73:AE74" si="69">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6"/>
      <c r="AG73" s="121"/>
      <c r="AH73" s="122"/>
      <c r="AI73" s="123"/>
      <c r="AJ73" s="123"/>
      <c r="AK73" s="121"/>
      <c r="AL73" s="122"/>
    </row>
    <row r="74" spans="1:70" x14ac:dyDescent="0.3">
      <c r="A74" s="222"/>
      <c r="B74" s="139"/>
      <c r="C74" s="139"/>
      <c r="D74" s="223"/>
      <c r="E74" s="213"/>
      <c r="F74" s="141"/>
      <c r="G74" s="223"/>
      <c r="H74" s="140"/>
      <c r="I74" s="224"/>
      <c r="J74" s="220"/>
      <c r="K74" s="219"/>
      <c r="L74" s="218"/>
      <c r="M74" s="219">
        <f ca="1">IF(NOT(ISERROR(MATCH(L74,_xlfn.ANCHORARRAY(E86),0))),K88&amp;"Por favor no seleccionar los criterios de impacto",L74)</f>
        <v>0</v>
      </c>
      <c r="N74" s="220"/>
      <c r="O74" s="219"/>
      <c r="P74" s="221"/>
      <c r="Q74" s="113">
        <v>6</v>
      </c>
      <c r="R74" s="114"/>
      <c r="S74" s="115" t="str">
        <f t="shared" si="66"/>
        <v/>
      </c>
      <c r="T74" s="116"/>
      <c r="U74" s="116"/>
      <c r="V74" s="117" t="str">
        <f t="shared" si="63"/>
        <v/>
      </c>
      <c r="W74" s="116"/>
      <c r="X74" s="116"/>
      <c r="Y74" s="116"/>
      <c r="Z74" s="118" t="str">
        <f t="shared" si="67"/>
        <v/>
      </c>
      <c r="AA74" s="119" t="str">
        <f t="shared" si="0"/>
        <v/>
      </c>
      <c r="AB74" s="117" t="str">
        <f t="shared" si="64"/>
        <v/>
      </c>
      <c r="AC74" s="119" t="str">
        <f t="shared" si="2"/>
        <v/>
      </c>
      <c r="AD74" s="117" t="str">
        <f t="shared" si="68"/>
        <v/>
      </c>
      <c r="AE74" s="120" t="str">
        <f t="shared" si="69"/>
        <v/>
      </c>
      <c r="AF74" s="116"/>
      <c r="AG74" s="121"/>
      <c r="AH74" s="122"/>
      <c r="AI74" s="123"/>
      <c r="AJ74" s="123"/>
      <c r="AK74" s="121"/>
      <c r="AL74" s="122"/>
    </row>
    <row r="75" spans="1:70" x14ac:dyDescent="0.3">
      <c r="A75" s="222">
        <v>1</v>
      </c>
      <c r="B75" s="139"/>
      <c r="C75" s="139"/>
      <c r="D75" s="223"/>
      <c r="E75" s="213"/>
      <c r="F75" s="141"/>
      <c r="G75" s="223"/>
      <c r="H75" s="140"/>
      <c r="I75" s="224"/>
      <c r="J75" s="220" t="str">
        <f>IF(I75&lt;=0,"",IF(I75&lt;=2,"Muy Baja",IF(I75&lt;=24,"Baja",IF(I75&lt;=500,"Media",IF(I75&lt;=5000,"Alta","Muy Alta")))))</f>
        <v/>
      </c>
      <c r="K75" s="219" t="str">
        <f>IF(J75="","",IF(J75="Muy Baja",0.2,IF(J75="Baja",0.4,IF(J75="Media",0.6,IF(J75="Alta",0.8,IF(J75="Muy Alta",1,))))))</f>
        <v/>
      </c>
      <c r="L75" s="218"/>
      <c r="M75" s="219">
        <f>IF(NOT(ISERROR(MATCH(L75,'Tabla Impacto'!$B$221:$B$223,0))),'Tabla Impacto'!$F$223&amp;"Por favor no seleccionar los criterios de impacto(Afectación Económica o presupuestal y Pérdida Reputacional)",L75)</f>
        <v>0</v>
      </c>
      <c r="N75" s="220" t="str">
        <f>IF(OR(M75='Tabla Impacto'!$C$11,M75='Tabla Impacto'!$D$11),"Leve",IF(OR(M75='Tabla Impacto'!$C$12,M75='Tabla Impacto'!$D$12),"Menor",IF(OR(M75='Tabla Impacto'!$C$13,M75='Tabla Impacto'!$D$13),"Moderado",IF(OR(M75='Tabla Impacto'!$C$14,M75='Tabla Impacto'!$D$14),"Mayor",IF(OR(M75='Tabla Impacto'!$C$15,M75='Tabla Impacto'!$D$15),"Catastrófico","")))))</f>
        <v/>
      </c>
      <c r="O75" s="219" t="str">
        <f>IF(N75="","",IF(N75="Leve",0.2,IF(N75="Menor",0.4,IF(N75="Moderado",0.6,IF(N75="Mayor",0.8,IF(N75="Catastrófico",1,))))))</f>
        <v/>
      </c>
      <c r="P75" s="221" t="str">
        <f>IF(OR(AND(J75="Muy Baja",N75="Leve"),AND(J75="Muy Baja",N75="Menor"),AND(J75="Baja",N75="Leve")),"Bajo",IF(OR(AND(J75="Muy baja",N75="Moderado"),AND(J75="Baja",N75="Menor"),AND(J75="Baja",N75="Moderado"),AND(J75="Media",N75="Leve"),AND(J75="Media",N75="Menor"),AND(J75="Media",N75="Moderado"),AND(J75="Alta",N75="Leve"),AND(J75="Alta",N75="Menor")),"Moderado",IF(OR(AND(J75="Muy Baja",N75="Mayor"),AND(J75="Baja",N75="Mayor"),AND(J75="Media",N75="Mayor"),AND(J75="Alta",N75="Moderado"),AND(J75="Alta",N75="Mayor"),AND(J75="Muy Alta",N75="Leve"),AND(J75="Muy Alta",N75="Menor"),AND(J75="Muy Alta",N75="Moderado"),AND(J75="Muy Alta",N75="Mayor")),"Alto",IF(OR(AND(J75="Muy Baja",N75="Catastrófico"),AND(J75="Baja",N75="Catastrófico"),AND(J75="Media",N75="Catastrófico"),AND(J75="Alta",N75="Catastrófico"),AND(J75="Muy Alta",N75="Catastrófico")),"Extremo",""))))</f>
        <v/>
      </c>
      <c r="Q75" s="113">
        <v>1</v>
      </c>
      <c r="R75" s="114"/>
      <c r="S75" s="115" t="str">
        <f>IF(OR(T75="Preventivo",T75="Detectivo"),"Probabilidad",IF(T75="Correctivo","Impacto",""))</f>
        <v/>
      </c>
      <c r="T75" s="116"/>
      <c r="U75" s="116"/>
      <c r="V75" s="117" t="str">
        <f>IF(AND(T75="Preventivo",U75="Automático"),"50%",IF(AND(T75="Preventivo",U75="Manual"),"40%",IF(AND(T75="Detectivo",U75="Automático"),"40%",IF(AND(T75="Detectivo",U75="Manual"),"30%",IF(AND(T75="Correctivo",U75="Automático"),"35%",IF(AND(T75="Correctivo",U75="Manual"),"25%",""))))))</f>
        <v/>
      </c>
      <c r="W75" s="116"/>
      <c r="X75" s="116"/>
      <c r="Y75" s="116"/>
      <c r="Z75" s="118" t="str">
        <f>IFERROR(IF(S75="Probabilidad",(K75-(+K75*V75)),IF(S75="Impacto",K75,"")),"")</f>
        <v/>
      </c>
      <c r="AA75" s="119" t="str">
        <f>IFERROR(IF(Z75="","",IF(Z75&lt;=0.2,"Muy Baja",IF(Z75&lt;=0.4,"Baja",IF(Z75&lt;=0.6,"Media",IF(Z75&lt;=0.8,"Alta","Muy Alta"))))),"")</f>
        <v/>
      </c>
      <c r="AB75" s="117" t="str">
        <f>+Z75</f>
        <v/>
      </c>
      <c r="AC75" s="119" t="str">
        <f>IFERROR(IF(AD75="","",IF(AD75&lt;=0.2,"Leve",IF(AD75&lt;=0.4,"Menor",IF(AD75&lt;=0.6,"Moderado",IF(AD75&lt;=0.8,"Mayor","Catastrófico"))))),"")</f>
        <v/>
      </c>
      <c r="AD75" s="117" t="str">
        <f>IFERROR(IF(S75="Impacto",(O75-(+O75*V75)),IF(S75="Probabilidad",O75,"")),"")</f>
        <v/>
      </c>
      <c r="AE75" s="120" t="str">
        <f>IFERROR(IF(OR(AND(AA75="Muy Baja",AC75="Leve"),AND(AA75="Muy Baja",AC75="Menor"),AND(AA75="Baja",AC75="Leve")),"Bajo",IF(OR(AND(AA75="Muy baja",AC75="Moderado"),AND(AA75="Baja",AC75="Menor"),AND(AA75="Baja",AC75="Moderado"),AND(AA75="Media",AC75="Leve"),AND(AA75="Media",AC75="Menor"),AND(AA75="Media",AC75="Moderado"),AND(AA75="Alta",AC75="Leve"),AND(AA75="Alta",AC75="Menor")),"Moderado",IF(OR(AND(AA75="Muy Baja",AC75="Mayor"),AND(AA75="Baja",AC75="Mayor"),AND(AA75="Media",AC75="Mayor"),AND(AA75="Alta",AC75="Moderado"),AND(AA75="Alta",AC75="Mayor"),AND(AA75="Muy Alta",AC75="Leve"),AND(AA75="Muy Alta",AC75="Menor"),AND(AA75="Muy Alta",AC75="Moderado"),AND(AA75="Muy Alta",AC75="Mayor")),"Alto",IF(OR(AND(AA75="Muy Baja",AC75="Catastrófico"),AND(AA75="Baja",AC75="Catastrófico"),AND(AA75="Media",AC75="Catastrófico"),AND(AA75="Alta",AC75="Catastrófico"),AND(AA75="Muy Alta",AC75="Catastrófico")),"Extremo","")))),"")</f>
        <v/>
      </c>
      <c r="AF75" s="116"/>
      <c r="AG75" s="121"/>
      <c r="AH75" s="122"/>
      <c r="AI75" s="123"/>
      <c r="AJ75" s="123"/>
      <c r="AK75" s="121"/>
      <c r="AL75" s="122"/>
    </row>
    <row r="76" spans="1:70" ht="49.5" customHeight="1" x14ac:dyDescent="0.3">
      <c r="A76" s="222"/>
      <c r="B76" s="139"/>
      <c r="C76" s="139"/>
      <c r="D76" s="223"/>
      <c r="E76" s="213"/>
      <c r="F76" s="141"/>
      <c r="G76" s="223"/>
      <c r="H76" s="140"/>
      <c r="I76" s="224"/>
      <c r="J76" s="220"/>
      <c r="K76" s="219"/>
      <c r="L76" s="218"/>
      <c r="M76" s="219">
        <f ca="1">IF(NOT(ISERROR(MATCH(L76,_xlfn.ANCHORARRAY(E87),0))),K89&amp;"Por favor no seleccionar los criterios de impacto",L76)</f>
        <v>0</v>
      </c>
      <c r="N76" s="220"/>
      <c r="O76" s="219"/>
      <c r="P76" s="221"/>
      <c r="Q76" s="113">
        <v>2</v>
      </c>
      <c r="R76" s="114"/>
      <c r="S76" s="115" t="str">
        <f>IF(OR(T76="Preventivo",T76="Detectivo"),"Probabilidad",IF(T76="Correctivo","Impacto",""))</f>
        <v/>
      </c>
      <c r="T76" s="116"/>
      <c r="U76" s="116"/>
      <c r="V76" s="117" t="str">
        <f t="shared" ref="V76:V80" si="70">IF(AND(T76="Preventivo",U76="Automático"),"50%",IF(AND(T76="Preventivo",U76="Manual"),"40%",IF(AND(T76="Detectivo",U76="Automático"),"40%",IF(AND(T76="Detectivo",U76="Manual"),"30%",IF(AND(T76="Correctivo",U76="Automático"),"35%",IF(AND(T76="Correctivo",U76="Manual"),"25%",""))))))</f>
        <v/>
      </c>
      <c r="W76" s="116"/>
      <c r="X76" s="116"/>
      <c r="Y76" s="116"/>
      <c r="Z76" s="118" t="str">
        <f>IFERROR(IF(AND(S75="Probabilidad",S76="Probabilidad"),(AB75-(+AB75*V76)),IF(S76="Probabilidad",(K75-(+K75*V76)),IF(S76="Impacto",AB75,""))),"")</f>
        <v/>
      </c>
      <c r="AA76" s="119" t="str">
        <f t="shared" ref="AA76:AA80" si="71">IFERROR(IF(Z76="","",IF(Z76&lt;=0.2,"Muy Baja",IF(Z76&lt;=0.4,"Baja",IF(Z76&lt;=0.6,"Media",IF(Z76&lt;=0.8,"Alta","Muy Alta"))))),"")</f>
        <v/>
      </c>
      <c r="AB76" s="117" t="str">
        <f t="shared" ref="AB76:AB80" si="72">+Z76</f>
        <v/>
      </c>
      <c r="AC76" s="119" t="str">
        <f t="shared" ref="AC76:AC80" si="73">IFERROR(IF(AD76="","",IF(AD76&lt;=0.2,"Leve",IF(AD76&lt;=0.4,"Menor",IF(AD76&lt;=0.6,"Moderado",IF(AD76&lt;=0.8,"Mayor","Catastrófico"))))),"")</f>
        <v/>
      </c>
      <c r="AD76" s="117" t="str">
        <f>IFERROR(IF(AND(S75="Impacto",S76="Impacto"),(AD75-(+AD75*V76)),IF(S76="Impacto",($O$9-(+$O$9*V76)),IF(S76="Probabilidad",AD75,""))),"")</f>
        <v/>
      </c>
      <c r="AE76" s="120" t="str">
        <f t="shared" ref="AE76:AE77" si="74">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6"/>
      <c r="AG76" s="121"/>
      <c r="AH76" s="122"/>
      <c r="AI76" s="123"/>
      <c r="AJ76" s="123"/>
      <c r="AK76" s="121"/>
      <c r="AL76" s="122"/>
    </row>
    <row r="77" spans="1:70" x14ac:dyDescent="0.3">
      <c r="A77" s="222"/>
      <c r="B77" s="139"/>
      <c r="C77" s="139"/>
      <c r="D77" s="223"/>
      <c r="E77" s="213"/>
      <c r="F77" s="141"/>
      <c r="G77" s="223"/>
      <c r="H77" s="140"/>
      <c r="I77" s="224"/>
      <c r="J77" s="220"/>
      <c r="K77" s="219"/>
      <c r="L77" s="218"/>
      <c r="M77" s="219">
        <f ca="1">IF(NOT(ISERROR(MATCH(L77,_xlfn.ANCHORARRAY(E88),0))),K90&amp;"Por favor no seleccionar los criterios de impacto",L77)</f>
        <v>0</v>
      </c>
      <c r="N77" s="220"/>
      <c r="O77" s="219"/>
      <c r="P77" s="221"/>
      <c r="Q77" s="113">
        <v>3</v>
      </c>
      <c r="R77" s="126"/>
      <c r="S77" s="115" t="str">
        <f>IF(OR(T77="Preventivo",T77="Detectivo"),"Probabilidad",IF(T77="Correctivo","Impacto",""))</f>
        <v/>
      </c>
      <c r="T77" s="116"/>
      <c r="U77" s="116"/>
      <c r="V77" s="117" t="str">
        <f t="shared" si="70"/>
        <v/>
      </c>
      <c r="W77" s="116"/>
      <c r="X77" s="116"/>
      <c r="Y77" s="116"/>
      <c r="Z77" s="118" t="str">
        <f>IFERROR(IF(AND(S76="Probabilidad",S77="Probabilidad"),(AB76-(+AB76*V77)),IF(AND(S76="Impacto",S77="Probabilidad"),(AB75-(+AB75*V77)),IF(S77="Impacto",AB76,""))),"")</f>
        <v/>
      </c>
      <c r="AA77" s="119" t="str">
        <f t="shared" si="71"/>
        <v/>
      </c>
      <c r="AB77" s="117" t="str">
        <f t="shared" si="72"/>
        <v/>
      </c>
      <c r="AC77" s="119" t="str">
        <f t="shared" si="73"/>
        <v/>
      </c>
      <c r="AD77" s="117" t="str">
        <f>IFERROR(IF(AND(S76="Impacto",S77="Impacto"),(AD76-(+AD76*V77)),IF(AND(S76="Probabilidad",S77="Impacto"),(AD75-(+AD75*V77)),IF(S77="Probabilidad",AD76,""))),"")</f>
        <v/>
      </c>
      <c r="AE77" s="120" t="str">
        <f t="shared" si="74"/>
        <v/>
      </c>
      <c r="AF77" s="116"/>
      <c r="AG77" s="121"/>
      <c r="AH77" s="122"/>
      <c r="AI77" s="123"/>
      <c r="AJ77" s="123"/>
      <c r="AK77" s="121"/>
      <c r="AL77" s="122"/>
    </row>
    <row r="78" spans="1:70" x14ac:dyDescent="0.3">
      <c r="A78" s="222"/>
      <c r="B78" s="139"/>
      <c r="C78" s="139"/>
      <c r="D78" s="223"/>
      <c r="E78" s="213"/>
      <c r="F78" s="141"/>
      <c r="G78" s="223"/>
      <c r="H78" s="140"/>
      <c r="I78" s="224"/>
      <c r="J78" s="220"/>
      <c r="K78" s="219"/>
      <c r="L78" s="218"/>
      <c r="M78" s="219">
        <f ca="1">IF(NOT(ISERROR(MATCH(L78,_xlfn.ANCHORARRAY(E89),0))),K91&amp;"Por favor no seleccionar los criterios de impacto",L78)</f>
        <v>0</v>
      </c>
      <c r="N78" s="220"/>
      <c r="O78" s="219"/>
      <c r="P78" s="221"/>
      <c r="Q78" s="113">
        <v>4</v>
      </c>
      <c r="R78" s="114"/>
      <c r="S78" s="115" t="str">
        <f t="shared" ref="S78:S80" si="75">IF(OR(T78="Preventivo",T78="Detectivo"),"Probabilidad",IF(T78="Correctivo","Impacto",""))</f>
        <v/>
      </c>
      <c r="T78" s="116"/>
      <c r="U78" s="116"/>
      <c r="V78" s="117" t="str">
        <f t="shared" si="70"/>
        <v/>
      </c>
      <c r="W78" s="116"/>
      <c r="X78" s="116"/>
      <c r="Y78" s="116"/>
      <c r="Z78" s="118" t="str">
        <f t="shared" ref="Z78:Z80" si="76">IFERROR(IF(AND(S77="Probabilidad",S78="Probabilidad"),(AB77-(+AB77*V78)),IF(AND(S77="Impacto",S78="Probabilidad"),(AB76-(+AB76*V78)),IF(S78="Impacto",AB77,""))),"")</f>
        <v/>
      </c>
      <c r="AA78" s="119" t="str">
        <f t="shared" si="71"/>
        <v/>
      </c>
      <c r="AB78" s="117" t="str">
        <f t="shared" si="72"/>
        <v/>
      </c>
      <c r="AC78" s="119" t="str">
        <f t="shared" si="73"/>
        <v/>
      </c>
      <c r="AD78" s="117" t="str">
        <f t="shared" ref="AD78:AD80" si="77">IFERROR(IF(AND(S77="Impacto",S78="Impacto"),(AD77-(+AD77*V78)),IF(AND(S77="Probabilidad",S78="Impacto"),(AD76-(+AD76*V78)),IF(S78="Probabilidad",AD77,""))),"")</f>
        <v/>
      </c>
      <c r="AE78" s="120" t="str">
        <f>IFERROR(IF(OR(AND(AA78="Muy Baja",AC78="Leve"),AND(AA78="Muy Baja",AC78="Menor"),AND(AA78="Baja",AC78="Leve")),"Bajo",IF(OR(AND(AA78="Muy baja",AC78="Moderado"),AND(AA78="Baja",AC78="Menor"),AND(AA78="Baja",AC78="Moderado"),AND(AA78="Media",AC78="Leve"),AND(AA78="Media",AC78="Menor"),AND(AA78="Media",AC78="Moderado"),AND(AA78="Alta",AC78="Leve"),AND(AA78="Alta",AC78="Menor")),"Moderado",IF(OR(AND(AA78="Muy Baja",AC78="Mayor"),AND(AA78="Baja",AC78="Mayor"),AND(AA78="Media",AC78="Mayor"),AND(AA78="Alta",AC78="Moderado"),AND(AA78="Alta",AC78="Mayor"),AND(AA78="Muy Alta",AC78="Leve"),AND(AA78="Muy Alta",AC78="Menor"),AND(AA78="Muy Alta",AC78="Moderado"),AND(AA78="Muy Alta",AC78="Mayor")),"Alto",IF(OR(AND(AA78="Muy Baja",AC78="Catastrófico"),AND(AA78="Baja",AC78="Catastrófico"),AND(AA78="Media",AC78="Catastrófico"),AND(AA78="Alta",AC78="Catastrófico"),AND(AA78="Muy Alta",AC78="Catastrófico")),"Extremo","")))),"")</f>
        <v/>
      </c>
      <c r="AF78" s="116"/>
      <c r="AG78" s="121"/>
      <c r="AH78" s="122"/>
      <c r="AI78" s="123"/>
      <c r="AJ78" s="123"/>
      <c r="AK78" s="121"/>
      <c r="AL78" s="122"/>
    </row>
    <row r="79" spans="1:70" x14ac:dyDescent="0.3">
      <c r="A79" s="222"/>
      <c r="B79" s="139"/>
      <c r="C79" s="139"/>
      <c r="D79" s="223"/>
      <c r="E79" s="213"/>
      <c r="F79" s="141"/>
      <c r="G79" s="223"/>
      <c r="H79" s="140"/>
      <c r="I79" s="224"/>
      <c r="J79" s="220"/>
      <c r="K79" s="219"/>
      <c r="L79" s="218"/>
      <c r="M79" s="219">
        <f ca="1">IF(NOT(ISERROR(MATCH(L79,_xlfn.ANCHORARRAY(E90),0))),K92&amp;"Por favor no seleccionar los criterios de impacto",L79)</f>
        <v>0</v>
      </c>
      <c r="N79" s="220"/>
      <c r="O79" s="219"/>
      <c r="P79" s="221"/>
      <c r="Q79" s="113">
        <v>5</v>
      </c>
      <c r="R79" s="114"/>
      <c r="S79" s="115" t="str">
        <f t="shared" si="75"/>
        <v/>
      </c>
      <c r="T79" s="116"/>
      <c r="U79" s="116"/>
      <c r="V79" s="117" t="str">
        <f t="shared" si="70"/>
        <v/>
      </c>
      <c r="W79" s="116"/>
      <c r="X79" s="116"/>
      <c r="Y79" s="116"/>
      <c r="Z79" s="118" t="str">
        <f t="shared" si="76"/>
        <v/>
      </c>
      <c r="AA79" s="119" t="str">
        <f t="shared" si="71"/>
        <v/>
      </c>
      <c r="AB79" s="117" t="str">
        <f t="shared" si="72"/>
        <v/>
      </c>
      <c r="AC79" s="119" t="str">
        <f t="shared" si="73"/>
        <v/>
      </c>
      <c r="AD79" s="117" t="str">
        <f t="shared" si="77"/>
        <v/>
      </c>
      <c r="AE79" s="120" t="str">
        <f t="shared" ref="AE79:AE80" si="78">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6"/>
      <c r="AG79" s="121"/>
      <c r="AH79" s="122"/>
      <c r="AI79" s="123"/>
      <c r="AJ79" s="123"/>
      <c r="AK79" s="121"/>
      <c r="AL79" s="122"/>
    </row>
    <row r="80" spans="1:70" x14ac:dyDescent="0.3">
      <c r="A80" s="222"/>
      <c r="B80" s="139"/>
      <c r="C80" s="139"/>
      <c r="D80" s="223"/>
      <c r="E80" s="213"/>
      <c r="F80" s="141"/>
      <c r="G80" s="223"/>
      <c r="H80" s="140"/>
      <c r="I80" s="224"/>
      <c r="J80" s="220"/>
      <c r="K80" s="219"/>
      <c r="L80" s="218"/>
      <c r="M80" s="219">
        <f ca="1">IF(NOT(ISERROR(MATCH(L80,_xlfn.ANCHORARRAY(E91),0))),K93&amp;"Por favor no seleccionar los criterios de impacto",L80)</f>
        <v>0</v>
      </c>
      <c r="N80" s="220"/>
      <c r="O80" s="219"/>
      <c r="P80" s="221"/>
      <c r="Q80" s="113">
        <v>6</v>
      </c>
      <c r="R80" s="114"/>
      <c r="S80" s="115" t="str">
        <f t="shared" si="75"/>
        <v/>
      </c>
      <c r="T80" s="116"/>
      <c r="U80" s="116"/>
      <c r="V80" s="117" t="str">
        <f t="shared" si="70"/>
        <v/>
      </c>
      <c r="W80" s="116"/>
      <c r="X80" s="116"/>
      <c r="Y80" s="116"/>
      <c r="Z80" s="118" t="str">
        <f t="shared" si="76"/>
        <v/>
      </c>
      <c r="AA80" s="119" t="str">
        <f t="shared" si="71"/>
        <v/>
      </c>
      <c r="AB80" s="117" t="str">
        <f t="shared" si="72"/>
        <v/>
      </c>
      <c r="AC80" s="119" t="str">
        <f t="shared" si="73"/>
        <v/>
      </c>
      <c r="AD80" s="117" t="str">
        <f t="shared" si="77"/>
        <v/>
      </c>
      <c r="AE80" s="120" t="str">
        <f t="shared" si="78"/>
        <v/>
      </c>
      <c r="AF80" s="116"/>
      <c r="AG80" s="121"/>
      <c r="AH80" s="122"/>
      <c r="AI80" s="123"/>
      <c r="AJ80" s="123"/>
      <c r="AK80" s="121"/>
      <c r="AL80" s="122"/>
    </row>
    <row r="81" spans="1:38" x14ac:dyDescent="0.3">
      <c r="A81" s="222">
        <v>2</v>
      </c>
      <c r="B81" s="139"/>
      <c r="C81" s="139"/>
      <c r="D81" s="223"/>
      <c r="E81" s="213"/>
      <c r="F81" s="141"/>
      <c r="G81" s="223"/>
      <c r="H81" s="140"/>
      <c r="I81" s="224"/>
      <c r="J81" s="220" t="str">
        <f>IF(I81&lt;=0,"",IF(I81&lt;=2,"Muy Baja",IF(I81&lt;=24,"Baja",IF(I81&lt;=500,"Media",IF(I81&lt;=5000,"Alta","Muy Alta")))))</f>
        <v/>
      </c>
      <c r="K81" s="219" t="str">
        <f>IF(J81="","",IF(J81="Muy Baja",0.2,IF(J81="Baja",0.4,IF(J81="Media",0.6,IF(J81="Alta",0.8,IF(J81="Muy Alta",1,))))))</f>
        <v/>
      </c>
      <c r="L81" s="218"/>
      <c r="M81" s="219">
        <f>IF(NOT(ISERROR(MATCH(L81,'Tabla Impacto'!$B$221:$B$223,0))),'Tabla Impacto'!$F$223&amp;"Por favor no seleccionar los criterios de impacto(Afectación Económica o presupuestal y Pérdida Reputacional)",L81)</f>
        <v>0</v>
      </c>
      <c r="N81" s="220" t="str">
        <f>IF(OR(M81='Tabla Impacto'!$C$11,M81='Tabla Impacto'!$D$11),"Leve",IF(OR(M81='Tabla Impacto'!$C$12,M81='Tabla Impacto'!$D$12),"Menor",IF(OR(M81='Tabla Impacto'!$C$13,M81='Tabla Impacto'!$D$13),"Moderado",IF(OR(M81='Tabla Impacto'!$C$14,M81='Tabla Impacto'!$D$14),"Mayor",IF(OR(M81='Tabla Impacto'!$C$15,M81='Tabla Impacto'!$D$15),"Catastrófico","")))))</f>
        <v/>
      </c>
      <c r="O81" s="219" t="str">
        <f>IF(N81="","",IF(N81="Leve",0.2,IF(N81="Menor",0.4,IF(N81="Moderado",0.6,IF(N81="Mayor",0.8,IF(N81="Catastrófico",1,))))))</f>
        <v/>
      </c>
      <c r="P81" s="221" t="str">
        <f>IF(OR(AND(J81="Muy Baja",N81="Leve"),AND(J81="Muy Baja",N81="Menor"),AND(J81="Baja",N81="Leve")),"Bajo",IF(OR(AND(J81="Muy baja",N81="Moderado"),AND(J81="Baja",N81="Menor"),AND(J81="Baja",N81="Moderado"),AND(J81="Media",N81="Leve"),AND(J81="Media",N81="Menor"),AND(J81="Media",N81="Moderado"),AND(J81="Alta",N81="Leve"),AND(J81="Alta",N81="Menor")),"Moderado",IF(OR(AND(J81="Muy Baja",N81="Mayor"),AND(J81="Baja",N81="Mayor"),AND(J81="Media",N81="Mayor"),AND(J81="Alta",N81="Moderado"),AND(J81="Alta",N81="Mayor"),AND(J81="Muy Alta",N81="Leve"),AND(J81="Muy Alta",N81="Menor"),AND(J81="Muy Alta",N81="Moderado"),AND(J81="Muy Alta",N81="Mayor")),"Alto",IF(OR(AND(J81="Muy Baja",N81="Catastrófico"),AND(J81="Baja",N81="Catastrófico"),AND(J81="Media",N81="Catastrófico"),AND(J81="Alta",N81="Catastrófico"),AND(J81="Muy Alta",N81="Catastrófico")),"Extremo",""))))</f>
        <v/>
      </c>
      <c r="Q81" s="113">
        <v>1</v>
      </c>
      <c r="R81" s="114"/>
      <c r="S81" s="115" t="str">
        <f>IF(OR(T81="Preventivo",T81="Detectivo"),"Probabilidad",IF(T81="Correctivo","Impacto",""))</f>
        <v/>
      </c>
      <c r="T81" s="116"/>
      <c r="U81" s="116"/>
      <c r="V81" s="117" t="str">
        <f>IF(AND(T81="Preventivo",U81="Automático"),"50%",IF(AND(T81="Preventivo",U81="Manual"),"40%",IF(AND(T81="Detectivo",U81="Automático"),"40%",IF(AND(T81="Detectivo",U81="Manual"),"30%",IF(AND(T81="Correctivo",U81="Automático"),"35%",IF(AND(T81="Correctivo",U81="Manual"),"25%",""))))))</f>
        <v/>
      </c>
      <c r="W81" s="116"/>
      <c r="X81" s="116"/>
      <c r="Y81" s="116"/>
      <c r="Z81" s="118" t="str">
        <f>IFERROR(IF(S81="Probabilidad",(K81-(+K81*V81)),IF(S81="Impacto",K81,"")),"")</f>
        <v/>
      </c>
      <c r="AA81" s="119" t="str">
        <f>IFERROR(IF(Z81="","",IF(Z81&lt;=0.2,"Muy Baja",IF(Z81&lt;=0.4,"Baja",IF(Z81&lt;=0.6,"Media",IF(Z81&lt;=0.8,"Alta","Muy Alta"))))),"")</f>
        <v/>
      </c>
      <c r="AB81" s="117" t="str">
        <f>+Z81</f>
        <v/>
      </c>
      <c r="AC81" s="119" t="str">
        <f>IFERROR(IF(AD81="","",IF(AD81&lt;=0.2,"Leve",IF(AD81&lt;=0.4,"Menor",IF(AD81&lt;=0.6,"Moderado",IF(AD81&lt;=0.8,"Mayor","Catastrófico"))))),"")</f>
        <v/>
      </c>
      <c r="AD81" s="117" t="str">
        <f>IFERROR(IF(S81="Impacto",(O81-(+O81*V81)),IF(S81="Probabilidad",O81,"")),"")</f>
        <v/>
      </c>
      <c r="AE81" s="120" t="str">
        <f>IFERROR(IF(OR(AND(AA81="Muy Baja",AC81="Leve"),AND(AA81="Muy Baja",AC81="Menor"),AND(AA81="Baja",AC81="Leve")),"Bajo",IF(OR(AND(AA81="Muy baja",AC81="Moderado"),AND(AA81="Baja",AC81="Menor"),AND(AA81="Baja",AC81="Moderado"),AND(AA81="Media",AC81="Leve"),AND(AA81="Media",AC81="Menor"),AND(AA81="Media",AC81="Moderado"),AND(AA81="Alta",AC81="Leve"),AND(AA81="Alta",AC81="Menor")),"Moderado",IF(OR(AND(AA81="Muy Baja",AC81="Mayor"),AND(AA81="Baja",AC81="Mayor"),AND(AA81="Media",AC81="Mayor"),AND(AA81="Alta",AC81="Moderado"),AND(AA81="Alta",AC81="Mayor"),AND(AA81="Muy Alta",AC81="Leve"),AND(AA81="Muy Alta",AC81="Menor"),AND(AA81="Muy Alta",AC81="Moderado"),AND(AA81="Muy Alta",AC81="Mayor")),"Alto",IF(OR(AND(AA81="Muy Baja",AC81="Catastrófico"),AND(AA81="Baja",AC81="Catastrófico"),AND(AA81="Media",AC81="Catastrófico"),AND(AA81="Alta",AC81="Catastrófico"),AND(AA81="Muy Alta",AC81="Catastrófico")),"Extremo","")))),"")</f>
        <v/>
      </c>
      <c r="AF81" s="116"/>
      <c r="AG81" s="121"/>
      <c r="AH81" s="122"/>
      <c r="AI81" s="123"/>
      <c r="AJ81" s="123"/>
      <c r="AK81" s="121"/>
      <c r="AL81" s="122"/>
    </row>
    <row r="82" spans="1:38" x14ac:dyDescent="0.3">
      <c r="A82" s="222"/>
      <c r="B82" s="139"/>
      <c r="C82" s="139"/>
      <c r="D82" s="223"/>
      <c r="E82" s="213"/>
      <c r="F82" s="141"/>
      <c r="G82" s="223"/>
      <c r="H82" s="140"/>
      <c r="I82" s="224"/>
      <c r="J82" s="220"/>
      <c r="K82" s="219"/>
      <c r="L82" s="218"/>
      <c r="M82" s="219">
        <f ca="1">IF(NOT(ISERROR(MATCH(L82,_xlfn.ANCHORARRAY(E93),0))),K95&amp;"Por favor no seleccionar los criterios de impacto",L82)</f>
        <v>0</v>
      </c>
      <c r="N82" s="220"/>
      <c r="O82" s="219"/>
      <c r="P82" s="221"/>
      <c r="Q82" s="113">
        <v>2</v>
      </c>
      <c r="R82" s="114"/>
      <c r="S82" s="115" t="str">
        <f>IF(OR(T82="Preventivo",T82="Detectivo"),"Probabilidad",IF(T82="Correctivo","Impacto",""))</f>
        <v/>
      </c>
      <c r="T82" s="116"/>
      <c r="U82" s="116"/>
      <c r="V82" s="117" t="str">
        <f t="shared" ref="V82:V86" si="79">IF(AND(T82="Preventivo",U82="Automático"),"50%",IF(AND(T82="Preventivo",U82="Manual"),"40%",IF(AND(T82="Detectivo",U82="Automático"),"40%",IF(AND(T82="Detectivo",U82="Manual"),"30%",IF(AND(T82="Correctivo",U82="Automático"),"35%",IF(AND(T82="Correctivo",U82="Manual"),"25%",""))))))</f>
        <v/>
      </c>
      <c r="W82" s="116"/>
      <c r="X82" s="116"/>
      <c r="Y82" s="116"/>
      <c r="Z82" s="118" t="str">
        <f>IFERROR(IF(AND(S81="Probabilidad",S82="Probabilidad"),(AB81-(+AB81*V82)),IF(S82="Probabilidad",(K81-(+K81*V82)),IF(S82="Impacto",AB81,""))),"")</f>
        <v/>
      </c>
      <c r="AA82" s="119" t="str">
        <f t="shared" ref="AA82:AA86" si="80">IFERROR(IF(Z82="","",IF(Z82&lt;=0.2,"Muy Baja",IF(Z82&lt;=0.4,"Baja",IF(Z82&lt;=0.6,"Media",IF(Z82&lt;=0.8,"Alta","Muy Alta"))))),"")</f>
        <v/>
      </c>
      <c r="AB82" s="117" t="str">
        <f t="shared" ref="AB82:AB86" si="81">+Z82</f>
        <v/>
      </c>
      <c r="AC82" s="119" t="str">
        <f t="shared" ref="AC82:AC86" si="82">IFERROR(IF(AD82="","",IF(AD82&lt;=0.2,"Leve",IF(AD82&lt;=0.4,"Menor",IF(AD82&lt;=0.6,"Moderado",IF(AD82&lt;=0.8,"Mayor","Catastrófico"))))),"")</f>
        <v/>
      </c>
      <c r="AD82" s="117" t="str">
        <f>IFERROR(IF(AND(S81="Impacto",S82="Impacto"),(AD75-(+AD75*V82)),IF(S82="Impacto",($O$15-(+$O$15*V82)),IF(S82="Probabilidad",AD75,""))),"")</f>
        <v/>
      </c>
      <c r="AE82" s="120" t="str">
        <f t="shared" ref="AE82:AE83" si="83">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6"/>
      <c r="AG82" s="121"/>
      <c r="AH82" s="122"/>
      <c r="AI82" s="123"/>
      <c r="AJ82" s="123"/>
      <c r="AK82" s="121"/>
      <c r="AL82" s="122"/>
    </row>
    <row r="83" spans="1:38" x14ac:dyDescent="0.3">
      <c r="A83" s="222"/>
      <c r="B83" s="139"/>
      <c r="C83" s="139"/>
      <c r="D83" s="223"/>
      <c r="E83" s="213"/>
      <c r="F83" s="141"/>
      <c r="G83" s="223"/>
      <c r="H83" s="140"/>
      <c r="I83" s="224"/>
      <c r="J83" s="220"/>
      <c r="K83" s="219"/>
      <c r="L83" s="218"/>
      <c r="M83" s="219">
        <f ca="1">IF(NOT(ISERROR(MATCH(L83,_xlfn.ANCHORARRAY(E94),0))),K96&amp;"Por favor no seleccionar los criterios de impacto",L83)</f>
        <v>0</v>
      </c>
      <c r="N83" s="220"/>
      <c r="O83" s="219"/>
      <c r="P83" s="221"/>
      <c r="Q83" s="113">
        <v>3</v>
      </c>
      <c r="R83" s="126"/>
      <c r="S83" s="115" t="str">
        <f>IF(OR(T83="Preventivo",T83="Detectivo"),"Probabilidad",IF(T83="Correctivo","Impacto",""))</f>
        <v/>
      </c>
      <c r="T83" s="116"/>
      <c r="U83" s="116"/>
      <c r="V83" s="117" t="str">
        <f t="shared" si="79"/>
        <v/>
      </c>
      <c r="W83" s="116"/>
      <c r="X83" s="116"/>
      <c r="Y83" s="116"/>
      <c r="Z83" s="118" t="str">
        <f>IFERROR(IF(AND(S82="Probabilidad",S83="Probabilidad"),(AB82-(+AB82*V83)),IF(AND(S82="Impacto",S83="Probabilidad"),(AB81-(+AB81*V83)),IF(S83="Impacto",AB82,""))),"")</f>
        <v/>
      </c>
      <c r="AA83" s="119" t="str">
        <f t="shared" si="80"/>
        <v/>
      </c>
      <c r="AB83" s="117" t="str">
        <f t="shared" si="81"/>
        <v/>
      </c>
      <c r="AC83" s="119" t="str">
        <f t="shared" si="82"/>
        <v/>
      </c>
      <c r="AD83" s="117" t="str">
        <f>IFERROR(IF(AND(S82="Impacto",S83="Impacto"),(AD82-(+AD82*V83)),IF(AND(S82="Probabilidad",S83="Impacto"),(AD81-(+AD81*V83)),IF(S83="Probabilidad",AD82,""))),"")</f>
        <v/>
      </c>
      <c r="AE83" s="120" t="str">
        <f t="shared" si="83"/>
        <v/>
      </c>
      <c r="AF83" s="116"/>
      <c r="AG83" s="121"/>
      <c r="AH83" s="122"/>
      <c r="AI83" s="123"/>
      <c r="AJ83" s="123"/>
      <c r="AK83" s="121"/>
      <c r="AL83" s="122"/>
    </row>
    <row r="84" spans="1:38" x14ac:dyDescent="0.3">
      <c r="A84" s="222"/>
      <c r="B84" s="139"/>
      <c r="C84" s="139"/>
      <c r="D84" s="223"/>
      <c r="E84" s="213"/>
      <c r="F84" s="141"/>
      <c r="G84" s="223"/>
      <c r="H84" s="140"/>
      <c r="I84" s="224"/>
      <c r="J84" s="220"/>
      <c r="K84" s="219"/>
      <c r="L84" s="218"/>
      <c r="M84" s="219">
        <f ca="1">IF(NOT(ISERROR(MATCH(L84,_xlfn.ANCHORARRAY(E95),0))),K97&amp;"Por favor no seleccionar los criterios de impacto",L84)</f>
        <v>0</v>
      </c>
      <c r="N84" s="220"/>
      <c r="O84" s="219"/>
      <c r="P84" s="221"/>
      <c r="Q84" s="113">
        <v>4</v>
      </c>
      <c r="R84" s="114"/>
      <c r="S84" s="115" t="str">
        <f t="shared" ref="S84:S86" si="84">IF(OR(T84="Preventivo",T84="Detectivo"),"Probabilidad",IF(T84="Correctivo","Impacto",""))</f>
        <v/>
      </c>
      <c r="T84" s="116"/>
      <c r="U84" s="116"/>
      <c r="V84" s="117" t="str">
        <f t="shared" si="79"/>
        <v/>
      </c>
      <c r="W84" s="116"/>
      <c r="X84" s="116"/>
      <c r="Y84" s="116"/>
      <c r="Z84" s="118" t="str">
        <f t="shared" ref="Z84:Z86" si="85">IFERROR(IF(AND(S83="Probabilidad",S84="Probabilidad"),(AB83-(+AB83*V84)),IF(AND(S83="Impacto",S84="Probabilidad"),(AB82-(+AB82*V84)),IF(S84="Impacto",AB83,""))),"")</f>
        <v/>
      </c>
      <c r="AA84" s="119" t="str">
        <f t="shared" si="80"/>
        <v/>
      </c>
      <c r="AB84" s="117" t="str">
        <f t="shared" si="81"/>
        <v/>
      </c>
      <c r="AC84" s="119" t="str">
        <f t="shared" si="82"/>
        <v/>
      </c>
      <c r="AD84" s="117" t="str">
        <f t="shared" ref="AD84:AD86" si="86">IFERROR(IF(AND(S83="Impacto",S84="Impacto"),(AD83-(+AD83*V84)),IF(AND(S83="Probabilidad",S84="Impacto"),(AD82-(+AD82*V84)),IF(S84="Probabilidad",AD83,""))),"")</f>
        <v/>
      </c>
      <c r="AE84" s="120" t="str">
        <f>IFERROR(IF(OR(AND(AA84="Muy Baja",AC84="Leve"),AND(AA84="Muy Baja",AC84="Menor"),AND(AA84="Baja",AC84="Leve")),"Bajo",IF(OR(AND(AA84="Muy baja",AC84="Moderado"),AND(AA84="Baja",AC84="Menor"),AND(AA84="Baja",AC84="Moderado"),AND(AA84="Media",AC84="Leve"),AND(AA84="Media",AC84="Menor"),AND(AA84="Media",AC84="Moderado"),AND(AA84="Alta",AC84="Leve"),AND(AA84="Alta",AC84="Menor")),"Moderado",IF(OR(AND(AA84="Muy Baja",AC84="Mayor"),AND(AA84="Baja",AC84="Mayor"),AND(AA84="Media",AC84="Mayor"),AND(AA84="Alta",AC84="Moderado"),AND(AA84="Alta",AC84="Mayor"),AND(AA84="Muy Alta",AC84="Leve"),AND(AA84="Muy Alta",AC84="Menor"),AND(AA84="Muy Alta",AC84="Moderado"),AND(AA84="Muy Alta",AC84="Mayor")),"Alto",IF(OR(AND(AA84="Muy Baja",AC84="Catastrófico"),AND(AA84="Baja",AC84="Catastrófico"),AND(AA84="Media",AC84="Catastrófico"),AND(AA84="Alta",AC84="Catastrófico"),AND(AA84="Muy Alta",AC84="Catastrófico")),"Extremo","")))),"")</f>
        <v/>
      </c>
      <c r="AF84" s="116"/>
      <c r="AG84" s="121"/>
      <c r="AH84" s="122"/>
      <c r="AI84" s="123"/>
      <c r="AJ84" s="123"/>
      <c r="AK84" s="121"/>
      <c r="AL84" s="122"/>
    </row>
    <row r="85" spans="1:38" x14ac:dyDescent="0.3">
      <c r="A85" s="222"/>
      <c r="B85" s="139"/>
      <c r="C85" s="139"/>
      <c r="D85" s="223"/>
      <c r="E85" s="213"/>
      <c r="F85" s="141"/>
      <c r="G85" s="223"/>
      <c r="H85" s="140"/>
      <c r="I85" s="224"/>
      <c r="J85" s="220"/>
      <c r="K85" s="219"/>
      <c r="L85" s="218"/>
      <c r="M85" s="219">
        <f ca="1">IF(NOT(ISERROR(MATCH(L85,_xlfn.ANCHORARRAY(E96),0))),K98&amp;"Por favor no seleccionar los criterios de impacto",L85)</f>
        <v>0</v>
      </c>
      <c r="N85" s="220"/>
      <c r="O85" s="219"/>
      <c r="P85" s="221"/>
      <c r="Q85" s="113">
        <v>5</v>
      </c>
      <c r="R85" s="114"/>
      <c r="S85" s="115" t="str">
        <f t="shared" si="84"/>
        <v/>
      </c>
      <c r="T85" s="116"/>
      <c r="U85" s="116"/>
      <c r="V85" s="117" t="str">
        <f t="shared" si="79"/>
        <v/>
      </c>
      <c r="W85" s="116"/>
      <c r="X85" s="116"/>
      <c r="Y85" s="116"/>
      <c r="Z85" s="118" t="str">
        <f t="shared" si="85"/>
        <v/>
      </c>
      <c r="AA85" s="119" t="str">
        <f t="shared" si="80"/>
        <v/>
      </c>
      <c r="AB85" s="117" t="str">
        <f t="shared" si="81"/>
        <v/>
      </c>
      <c r="AC85" s="119" t="str">
        <f t="shared" si="82"/>
        <v/>
      </c>
      <c r="AD85" s="117" t="str">
        <f t="shared" si="86"/>
        <v/>
      </c>
      <c r="AE85" s="120" t="str">
        <f t="shared" ref="AE85:AE86" si="87">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6"/>
      <c r="AG85" s="121"/>
      <c r="AH85" s="122"/>
      <c r="AI85" s="123"/>
      <c r="AJ85" s="123"/>
      <c r="AK85" s="121"/>
      <c r="AL85" s="122"/>
    </row>
    <row r="86" spans="1:38" x14ac:dyDescent="0.3">
      <c r="A86" s="222"/>
      <c r="B86" s="139"/>
      <c r="C86" s="139"/>
      <c r="D86" s="223"/>
      <c r="E86" s="213"/>
      <c r="F86" s="141"/>
      <c r="G86" s="223"/>
      <c r="H86" s="140"/>
      <c r="I86" s="224"/>
      <c r="J86" s="220"/>
      <c r="K86" s="219"/>
      <c r="L86" s="218"/>
      <c r="M86" s="219">
        <f ca="1">IF(NOT(ISERROR(MATCH(L86,_xlfn.ANCHORARRAY(E97),0))),K99&amp;"Por favor no seleccionar los criterios de impacto",L86)</f>
        <v>0</v>
      </c>
      <c r="N86" s="220"/>
      <c r="O86" s="219"/>
      <c r="P86" s="221"/>
      <c r="Q86" s="113">
        <v>6</v>
      </c>
      <c r="R86" s="114"/>
      <c r="S86" s="115" t="str">
        <f t="shared" si="84"/>
        <v/>
      </c>
      <c r="T86" s="116"/>
      <c r="U86" s="116"/>
      <c r="V86" s="117" t="str">
        <f t="shared" si="79"/>
        <v/>
      </c>
      <c r="W86" s="116"/>
      <c r="X86" s="116"/>
      <c r="Y86" s="116"/>
      <c r="Z86" s="118" t="str">
        <f t="shared" si="85"/>
        <v/>
      </c>
      <c r="AA86" s="119" t="str">
        <f t="shared" si="80"/>
        <v/>
      </c>
      <c r="AB86" s="117" t="str">
        <f t="shared" si="81"/>
        <v/>
      </c>
      <c r="AC86" s="119" t="str">
        <f t="shared" si="82"/>
        <v/>
      </c>
      <c r="AD86" s="117" t="str">
        <f t="shared" si="86"/>
        <v/>
      </c>
      <c r="AE86" s="120" t="str">
        <f t="shared" si="87"/>
        <v/>
      </c>
      <c r="AF86" s="116"/>
      <c r="AG86" s="121"/>
      <c r="AH86" s="122"/>
      <c r="AI86" s="123"/>
      <c r="AJ86" s="123"/>
      <c r="AK86" s="121"/>
      <c r="AL86" s="122"/>
    </row>
    <row r="87" spans="1:38" x14ac:dyDescent="0.3">
      <c r="A87" s="222">
        <v>3</v>
      </c>
      <c r="B87" s="139"/>
      <c r="C87" s="139"/>
      <c r="D87" s="223"/>
      <c r="E87" s="213"/>
      <c r="F87" s="141"/>
      <c r="G87" s="223"/>
      <c r="H87" s="140"/>
      <c r="I87" s="224"/>
      <c r="J87" s="220" t="str">
        <f>IF(I87&lt;=0,"",IF(I87&lt;=2,"Muy Baja",IF(I87&lt;=24,"Baja",IF(I87&lt;=500,"Media",IF(I87&lt;=5000,"Alta","Muy Alta")))))</f>
        <v/>
      </c>
      <c r="K87" s="219" t="str">
        <f>IF(J87="","",IF(J87="Muy Baja",0.2,IF(J87="Baja",0.4,IF(J87="Media",0.6,IF(J87="Alta",0.8,IF(J87="Muy Alta",1,))))))</f>
        <v/>
      </c>
      <c r="L87" s="218"/>
      <c r="M87" s="219">
        <f>IF(NOT(ISERROR(MATCH(L87,'Tabla Impacto'!$B$221:$B$223,0))),'Tabla Impacto'!$F$223&amp;"Por favor no seleccionar los criterios de impacto(Afectación Económica o presupuestal y Pérdida Reputacional)",L87)</f>
        <v>0</v>
      </c>
      <c r="N87" s="220" t="str">
        <f>IF(OR(M87='Tabla Impacto'!$C$11,M87='Tabla Impacto'!$D$11),"Leve",IF(OR(M87='Tabla Impacto'!$C$12,M87='Tabla Impacto'!$D$12),"Menor",IF(OR(M87='Tabla Impacto'!$C$13,M87='Tabla Impacto'!$D$13),"Moderado",IF(OR(M87='Tabla Impacto'!$C$14,M87='Tabla Impacto'!$D$14),"Mayor",IF(OR(M87='Tabla Impacto'!$C$15,M87='Tabla Impacto'!$D$15),"Catastrófico","")))))</f>
        <v/>
      </c>
      <c r="O87" s="219" t="str">
        <f>IF(N87="","",IF(N87="Leve",0.2,IF(N87="Menor",0.4,IF(N87="Moderado",0.6,IF(N87="Mayor",0.8,IF(N87="Catastrófico",1,))))))</f>
        <v/>
      </c>
      <c r="P87" s="221" t="str">
        <f>IF(OR(AND(J87="Muy Baja",N87="Leve"),AND(J87="Muy Baja",N87="Menor"),AND(J87="Baja",N87="Leve")),"Bajo",IF(OR(AND(J87="Muy baja",N87="Moderado"),AND(J87="Baja",N87="Menor"),AND(J87="Baja",N87="Moderado"),AND(J87="Media",N87="Leve"),AND(J87="Media",N87="Menor"),AND(J87="Media",N87="Moderado"),AND(J87="Alta",N87="Leve"),AND(J87="Alta",N87="Menor")),"Moderado",IF(OR(AND(J87="Muy Baja",N87="Mayor"),AND(J87="Baja",N87="Mayor"),AND(J87="Media",N87="Mayor"),AND(J87="Alta",N87="Moderado"),AND(J87="Alta",N87="Mayor"),AND(J87="Muy Alta",N87="Leve"),AND(J87="Muy Alta",N87="Menor"),AND(J87="Muy Alta",N87="Moderado"),AND(J87="Muy Alta",N87="Mayor")),"Alto",IF(OR(AND(J87="Muy Baja",N87="Catastrófico"),AND(J87="Baja",N87="Catastrófico"),AND(J87="Media",N87="Catastrófico"),AND(J87="Alta",N87="Catastrófico"),AND(J87="Muy Alta",N87="Catastrófico")),"Extremo",""))))</f>
        <v/>
      </c>
      <c r="Q87" s="113">
        <v>1</v>
      </c>
      <c r="R87" s="114"/>
      <c r="S87" s="115" t="str">
        <f>IF(OR(T87="Preventivo",T87="Detectivo"),"Probabilidad",IF(T87="Correctivo","Impacto",""))</f>
        <v/>
      </c>
      <c r="T87" s="116"/>
      <c r="U87" s="116"/>
      <c r="V87" s="117" t="str">
        <f>IF(AND(T87="Preventivo",U87="Automático"),"50%",IF(AND(T87="Preventivo",U87="Manual"),"40%",IF(AND(T87="Detectivo",U87="Automático"),"40%",IF(AND(T87="Detectivo",U87="Manual"),"30%",IF(AND(T87="Correctivo",U87="Automático"),"35%",IF(AND(T87="Correctivo",U87="Manual"),"25%",""))))))</f>
        <v/>
      </c>
      <c r="W87" s="116"/>
      <c r="X87" s="116"/>
      <c r="Y87" s="116"/>
      <c r="Z87" s="118" t="str">
        <f>IFERROR(IF(S87="Probabilidad",(K87-(+K87*V87)),IF(S87="Impacto",K87,"")),"")</f>
        <v/>
      </c>
      <c r="AA87" s="119" t="str">
        <f>IFERROR(IF(Z87="","",IF(Z87&lt;=0.2,"Muy Baja",IF(Z87&lt;=0.4,"Baja",IF(Z87&lt;=0.6,"Media",IF(Z87&lt;=0.8,"Alta","Muy Alta"))))),"")</f>
        <v/>
      </c>
      <c r="AB87" s="117" t="str">
        <f>+Z87</f>
        <v/>
      </c>
      <c r="AC87" s="119" t="str">
        <f>IFERROR(IF(AD87="","",IF(AD87&lt;=0.2,"Leve",IF(AD87&lt;=0.4,"Menor",IF(AD87&lt;=0.6,"Moderado",IF(AD87&lt;=0.8,"Mayor","Catastrófico"))))),"")</f>
        <v/>
      </c>
      <c r="AD87" s="117" t="str">
        <f>IFERROR(IF(S87="Impacto",(O87-(+O87*V87)),IF(S87="Probabilidad",O87,"")),"")</f>
        <v/>
      </c>
      <c r="AE87" s="120" t="str">
        <f>IFERROR(IF(OR(AND(AA87="Muy Baja",AC87="Leve"),AND(AA87="Muy Baja",AC87="Menor"),AND(AA87="Baja",AC87="Leve")),"Bajo",IF(OR(AND(AA87="Muy baja",AC87="Moderado"),AND(AA87="Baja",AC87="Menor"),AND(AA87="Baja",AC87="Moderado"),AND(AA87="Media",AC87="Leve"),AND(AA87="Media",AC87="Menor"),AND(AA87="Media",AC87="Moderado"),AND(AA87="Alta",AC87="Leve"),AND(AA87="Alta",AC87="Menor")),"Moderado",IF(OR(AND(AA87="Muy Baja",AC87="Mayor"),AND(AA87="Baja",AC87="Mayor"),AND(AA87="Media",AC87="Mayor"),AND(AA87="Alta",AC87="Moderado"),AND(AA87="Alta",AC87="Mayor"),AND(AA87="Muy Alta",AC87="Leve"),AND(AA87="Muy Alta",AC87="Menor"),AND(AA87="Muy Alta",AC87="Moderado"),AND(AA87="Muy Alta",AC87="Mayor")),"Alto",IF(OR(AND(AA87="Muy Baja",AC87="Catastrófico"),AND(AA87="Baja",AC87="Catastrófico"),AND(AA87="Media",AC87="Catastrófico"),AND(AA87="Alta",AC87="Catastrófico"),AND(AA87="Muy Alta",AC87="Catastrófico")),"Extremo","")))),"")</f>
        <v/>
      </c>
      <c r="AF87" s="116"/>
      <c r="AG87" s="121"/>
      <c r="AH87" s="122"/>
      <c r="AI87" s="123"/>
      <c r="AJ87" s="123"/>
      <c r="AK87" s="121"/>
      <c r="AL87" s="122"/>
    </row>
    <row r="88" spans="1:38" x14ac:dyDescent="0.3">
      <c r="A88" s="222"/>
      <c r="B88" s="139"/>
      <c r="C88" s="139"/>
      <c r="D88" s="223"/>
      <c r="E88" s="213"/>
      <c r="F88" s="141"/>
      <c r="G88" s="223"/>
      <c r="H88" s="140"/>
      <c r="I88" s="224"/>
      <c r="J88" s="220"/>
      <c r="K88" s="219"/>
      <c r="L88" s="218"/>
      <c r="M88" s="219">
        <f t="shared" ref="M88:M92" ca="1" si="88">IF(NOT(ISERROR(MATCH(L88,_xlfn.ANCHORARRAY(E99),0))),K101&amp;"Por favor no seleccionar los criterios de impacto",L88)</f>
        <v>0</v>
      </c>
      <c r="N88" s="220"/>
      <c r="O88" s="219"/>
      <c r="P88" s="221"/>
      <c r="Q88" s="113">
        <v>2</v>
      </c>
      <c r="R88" s="114"/>
      <c r="S88" s="115" t="str">
        <f>IF(OR(T88="Preventivo",T88="Detectivo"),"Probabilidad",IF(T88="Correctivo","Impacto",""))</f>
        <v/>
      </c>
      <c r="T88" s="116"/>
      <c r="U88" s="116"/>
      <c r="V88" s="117" t="str">
        <f t="shared" ref="V88:V92" si="89">IF(AND(T88="Preventivo",U88="Automático"),"50%",IF(AND(T88="Preventivo",U88="Manual"),"40%",IF(AND(T88="Detectivo",U88="Automático"),"40%",IF(AND(T88="Detectivo",U88="Manual"),"30%",IF(AND(T88="Correctivo",U88="Automático"),"35%",IF(AND(T88="Correctivo",U88="Manual"),"25%",""))))))</f>
        <v/>
      </c>
      <c r="W88" s="116"/>
      <c r="X88" s="116"/>
      <c r="Y88" s="116"/>
      <c r="Z88" s="127" t="str">
        <f>IFERROR(IF(AND(S87="Probabilidad",S88="Probabilidad"),(AB87-(+AB87*V88)),IF(S88="Probabilidad",(K87-(+K87*V88)),IF(S88="Impacto",AB87,""))),"")</f>
        <v/>
      </c>
      <c r="AA88" s="119" t="str">
        <f t="shared" ref="AA88:AA92" si="90">IFERROR(IF(Z88="","",IF(Z88&lt;=0.2,"Muy Baja",IF(Z88&lt;=0.4,"Baja",IF(Z88&lt;=0.6,"Media",IF(Z88&lt;=0.8,"Alta","Muy Alta"))))),"")</f>
        <v/>
      </c>
      <c r="AB88" s="117" t="str">
        <f t="shared" ref="AB88:AB92" si="91">+Z88</f>
        <v/>
      </c>
      <c r="AC88" s="119" t="str">
        <f t="shared" ref="AC88:AC92" si="92">IFERROR(IF(AD88="","",IF(AD88&lt;=0.2,"Leve",IF(AD88&lt;=0.4,"Menor",IF(AD88&lt;=0.6,"Moderado",IF(AD88&lt;=0.8,"Mayor","Catastrófico"))))),"")</f>
        <v/>
      </c>
      <c r="AD88" s="117" t="str">
        <f>IFERROR(IF(AND(S87="Impacto",S88="Impacto"),(AD81-(+AD81*V88)),IF(S88="Impacto",($O$21-(+$O$21*V88)),IF(S88="Probabilidad",AD81,""))),"")</f>
        <v/>
      </c>
      <c r="AE88" s="120" t="str">
        <f t="shared" ref="AE88:AE89" si="93">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6"/>
      <c r="AG88" s="121"/>
      <c r="AH88" s="122"/>
      <c r="AI88" s="123"/>
      <c r="AJ88" s="123"/>
      <c r="AK88" s="121"/>
      <c r="AL88" s="122"/>
    </row>
    <row r="89" spans="1:38" x14ac:dyDescent="0.3">
      <c r="A89" s="222"/>
      <c r="B89" s="139"/>
      <c r="C89" s="139"/>
      <c r="D89" s="223"/>
      <c r="E89" s="213"/>
      <c r="F89" s="141"/>
      <c r="G89" s="223"/>
      <c r="H89" s="140"/>
      <c r="I89" s="224"/>
      <c r="J89" s="220"/>
      <c r="K89" s="219"/>
      <c r="L89" s="218"/>
      <c r="M89" s="219">
        <f t="shared" ca="1" si="88"/>
        <v>0</v>
      </c>
      <c r="N89" s="220"/>
      <c r="O89" s="219"/>
      <c r="P89" s="221"/>
      <c r="Q89" s="113">
        <v>3</v>
      </c>
      <c r="R89" s="126"/>
      <c r="S89" s="115" t="str">
        <f>IF(OR(T89="Preventivo",T89="Detectivo"),"Probabilidad",IF(T89="Correctivo","Impacto",""))</f>
        <v/>
      </c>
      <c r="T89" s="116"/>
      <c r="U89" s="116"/>
      <c r="V89" s="117" t="str">
        <f t="shared" si="89"/>
        <v/>
      </c>
      <c r="W89" s="116"/>
      <c r="X89" s="116"/>
      <c r="Y89" s="116"/>
      <c r="Z89" s="118" t="str">
        <f>IFERROR(IF(AND(S88="Probabilidad",S89="Probabilidad"),(AB88-(+AB88*V89)),IF(AND(S88="Impacto",S89="Probabilidad"),(AB87-(+AB87*V89)),IF(S89="Impacto",AB88,""))),"")</f>
        <v/>
      </c>
      <c r="AA89" s="119" t="str">
        <f t="shared" si="90"/>
        <v/>
      </c>
      <c r="AB89" s="117" t="str">
        <f t="shared" si="91"/>
        <v/>
      </c>
      <c r="AC89" s="119" t="str">
        <f t="shared" si="92"/>
        <v/>
      </c>
      <c r="AD89" s="117" t="str">
        <f>IFERROR(IF(AND(S88="Impacto",S89="Impacto"),(AD88-(+AD88*V89)),IF(AND(S88="Probabilidad",S89="Impacto"),(AD87-(+AD87*V89)),IF(S89="Probabilidad",AD88,""))),"")</f>
        <v/>
      </c>
      <c r="AE89" s="120" t="str">
        <f t="shared" si="93"/>
        <v/>
      </c>
      <c r="AF89" s="116"/>
      <c r="AG89" s="121"/>
      <c r="AH89" s="122"/>
      <c r="AI89" s="123"/>
      <c r="AJ89" s="123"/>
      <c r="AK89" s="121"/>
      <c r="AL89" s="122"/>
    </row>
    <row r="90" spans="1:38" x14ac:dyDescent="0.3">
      <c r="A90" s="222"/>
      <c r="B90" s="139"/>
      <c r="C90" s="139"/>
      <c r="D90" s="223"/>
      <c r="E90" s="213"/>
      <c r="F90" s="141"/>
      <c r="G90" s="223"/>
      <c r="H90" s="140"/>
      <c r="I90" s="224"/>
      <c r="J90" s="220"/>
      <c r="K90" s="219"/>
      <c r="L90" s="218"/>
      <c r="M90" s="219">
        <f t="shared" ca="1" si="88"/>
        <v>0</v>
      </c>
      <c r="N90" s="220"/>
      <c r="O90" s="219"/>
      <c r="P90" s="221"/>
      <c r="Q90" s="113">
        <v>4</v>
      </c>
      <c r="R90" s="114"/>
      <c r="S90" s="115" t="str">
        <f t="shared" ref="S90:S92" si="94">IF(OR(T90="Preventivo",T90="Detectivo"),"Probabilidad",IF(T90="Correctivo","Impacto",""))</f>
        <v/>
      </c>
      <c r="T90" s="116"/>
      <c r="U90" s="116"/>
      <c r="V90" s="117" t="str">
        <f t="shared" si="89"/>
        <v/>
      </c>
      <c r="W90" s="116"/>
      <c r="X90" s="116"/>
      <c r="Y90" s="116"/>
      <c r="Z90" s="118" t="str">
        <f t="shared" ref="Z90:Z92" si="95">IFERROR(IF(AND(S89="Probabilidad",S90="Probabilidad"),(AB89-(+AB89*V90)),IF(AND(S89="Impacto",S90="Probabilidad"),(AB88-(+AB88*V90)),IF(S90="Impacto",AB89,""))),"")</f>
        <v/>
      </c>
      <c r="AA90" s="119" t="str">
        <f t="shared" si="90"/>
        <v/>
      </c>
      <c r="AB90" s="117" t="str">
        <f t="shared" si="91"/>
        <v/>
      </c>
      <c r="AC90" s="119" t="str">
        <f t="shared" si="92"/>
        <v/>
      </c>
      <c r="AD90" s="117" t="str">
        <f t="shared" ref="AD90:AD92" si="96">IFERROR(IF(AND(S89="Impacto",S90="Impacto"),(AD89-(+AD89*V90)),IF(AND(S89="Probabilidad",S90="Impacto"),(AD88-(+AD88*V90)),IF(S90="Probabilidad",AD89,""))),"")</f>
        <v/>
      </c>
      <c r="AE90" s="120" t="str">
        <f>IFERROR(IF(OR(AND(AA90="Muy Baja",AC90="Leve"),AND(AA90="Muy Baja",AC90="Menor"),AND(AA90="Baja",AC90="Leve")),"Bajo",IF(OR(AND(AA90="Muy baja",AC90="Moderado"),AND(AA90="Baja",AC90="Menor"),AND(AA90="Baja",AC90="Moderado"),AND(AA90="Media",AC90="Leve"),AND(AA90="Media",AC90="Menor"),AND(AA90="Media",AC90="Moderado"),AND(AA90="Alta",AC90="Leve"),AND(AA90="Alta",AC90="Menor")),"Moderado",IF(OR(AND(AA90="Muy Baja",AC90="Mayor"),AND(AA90="Baja",AC90="Mayor"),AND(AA90="Media",AC90="Mayor"),AND(AA90="Alta",AC90="Moderado"),AND(AA90="Alta",AC90="Mayor"),AND(AA90="Muy Alta",AC90="Leve"),AND(AA90="Muy Alta",AC90="Menor"),AND(AA90="Muy Alta",AC90="Moderado"),AND(AA90="Muy Alta",AC90="Mayor")),"Alto",IF(OR(AND(AA90="Muy Baja",AC90="Catastrófico"),AND(AA90="Baja",AC90="Catastrófico"),AND(AA90="Media",AC90="Catastrófico"),AND(AA90="Alta",AC90="Catastrófico"),AND(AA90="Muy Alta",AC90="Catastrófico")),"Extremo","")))),"")</f>
        <v/>
      </c>
      <c r="AF90" s="116"/>
      <c r="AG90" s="121"/>
      <c r="AH90" s="122"/>
      <c r="AI90" s="123"/>
      <c r="AJ90" s="123"/>
      <c r="AK90" s="121"/>
      <c r="AL90" s="122"/>
    </row>
    <row r="91" spans="1:38" x14ac:dyDescent="0.3">
      <c r="A91" s="222"/>
      <c r="B91" s="139"/>
      <c r="C91" s="139"/>
      <c r="D91" s="223"/>
      <c r="E91" s="213"/>
      <c r="F91" s="141"/>
      <c r="G91" s="223"/>
      <c r="H91" s="140"/>
      <c r="I91" s="224"/>
      <c r="J91" s="220"/>
      <c r="K91" s="219"/>
      <c r="L91" s="218"/>
      <c r="M91" s="219">
        <f t="shared" ca="1" si="88"/>
        <v>0</v>
      </c>
      <c r="N91" s="220"/>
      <c r="O91" s="219"/>
      <c r="P91" s="221"/>
      <c r="Q91" s="113">
        <v>5</v>
      </c>
      <c r="R91" s="114"/>
      <c r="S91" s="115" t="str">
        <f t="shared" si="94"/>
        <v/>
      </c>
      <c r="T91" s="116"/>
      <c r="U91" s="116"/>
      <c r="V91" s="117" t="str">
        <f t="shared" si="89"/>
        <v/>
      </c>
      <c r="W91" s="116"/>
      <c r="X91" s="116"/>
      <c r="Y91" s="116"/>
      <c r="Z91" s="118" t="str">
        <f t="shared" si="95"/>
        <v/>
      </c>
      <c r="AA91" s="119" t="str">
        <f t="shared" si="90"/>
        <v/>
      </c>
      <c r="AB91" s="117" t="str">
        <f t="shared" si="91"/>
        <v/>
      </c>
      <c r="AC91" s="119" t="str">
        <f t="shared" si="92"/>
        <v/>
      </c>
      <c r="AD91" s="117" t="str">
        <f t="shared" si="96"/>
        <v/>
      </c>
      <c r="AE91" s="120" t="str">
        <f t="shared" ref="AE91:AE92" si="97">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6"/>
      <c r="AG91" s="121"/>
      <c r="AH91" s="122"/>
      <c r="AI91" s="123"/>
      <c r="AJ91" s="123"/>
      <c r="AK91" s="121"/>
      <c r="AL91" s="122"/>
    </row>
    <row r="92" spans="1:38" x14ac:dyDescent="0.3">
      <c r="A92" s="222"/>
      <c r="B92" s="139"/>
      <c r="C92" s="139"/>
      <c r="D92" s="223"/>
      <c r="E92" s="213"/>
      <c r="F92" s="141"/>
      <c r="G92" s="223"/>
      <c r="H92" s="140"/>
      <c r="I92" s="224"/>
      <c r="J92" s="220"/>
      <c r="K92" s="219"/>
      <c r="L92" s="218"/>
      <c r="M92" s="219">
        <f t="shared" ca="1" si="88"/>
        <v>0</v>
      </c>
      <c r="N92" s="220"/>
      <c r="O92" s="219"/>
      <c r="P92" s="221"/>
      <c r="Q92" s="113">
        <v>6</v>
      </c>
      <c r="R92" s="114"/>
      <c r="S92" s="115" t="str">
        <f t="shared" si="94"/>
        <v/>
      </c>
      <c r="T92" s="116"/>
      <c r="U92" s="116"/>
      <c r="V92" s="117" t="str">
        <f t="shared" si="89"/>
        <v/>
      </c>
      <c r="W92" s="116"/>
      <c r="X92" s="116"/>
      <c r="Y92" s="116"/>
      <c r="Z92" s="118" t="str">
        <f t="shared" si="95"/>
        <v/>
      </c>
      <c r="AA92" s="119" t="str">
        <f t="shared" si="90"/>
        <v/>
      </c>
      <c r="AB92" s="117" t="str">
        <f t="shared" si="91"/>
        <v/>
      </c>
      <c r="AC92" s="119" t="str">
        <f t="shared" si="92"/>
        <v/>
      </c>
      <c r="AD92" s="117" t="str">
        <f t="shared" si="96"/>
        <v/>
      </c>
      <c r="AE92" s="120" t="str">
        <f t="shared" si="97"/>
        <v/>
      </c>
      <c r="AF92" s="116"/>
      <c r="AG92" s="121"/>
      <c r="AH92" s="122"/>
      <c r="AI92" s="123"/>
      <c r="AJ92" s="123"/>
      <c r="AK92" s="121"/>
      <c r="AL92" s="122"/>
    </row>
    <row r="93" spans="1:38" x14ac:dyDescent="0.3">
      <c r="A93" s="222">
        <v>4</v>
      </c>
      <c r="B93" s="139"/>
      <c r="C93" s="139"/>
      <c r="D93" s="223"/>
      <c r="E93" s="213"/>
      <c r="F93" s="141"/>
      <c r="G93" s="223"/>
      <c r="H93" s="140"/>
      <c r="I93" s="224"/>
      <c r="J93" s="220" t="str">
        <f>IF(I93&lt;=0,"",IF(I93&lt;=2,"Muy Baja",IF(I93&lt;=24,"Baja",IF(I93&lt;=500,"Media",IF(I93&lt;=5000,"Alta","Muy Alta")))))</f>
        <v/>
      </c>
      <c r="K93" s="219" t="str">
        <f>IF(J93="","",IF(J93="Muy Baja",0.2,IF(J93="Baja",0.4,IF(J93="Media",0.6,IF(J93="Alta",0.8,IF(J93="Muy Alta",1,))))))</f>
        <v/>
      </c>
      <c r="L93" s="218"/>
      <c r="M93" s="219">
        <f>IF(NOT(ISERROR(MATCH(L93,'Tabla Impacto'!$B$221:$B$223,0))),'Tabla Impacto'!$F$223&amp;"Por favor no seleccionar los criterios de impacto(Afectación Económica o presupuestal y Pérdida Reputacional)",L93)</f>
        <v>0</v>
      </c>
      <c r="N93" s="220" t="str">
        <f>IF(OR(M93='Tabla Impacto'!$C$11,M93='Tabla Impacto'!$D$11),"Leve",IF(OR(M93='Tabla Impacto'!$C$12,M93='Tabla Impacto'!$D$12),"Menor",IF(OR(M93='Tabla Impacto'!$C$13,M93='Tabla Impacto'!$D$13),"Moderado",IF(OR(M93='Tabla Impacto'!$C$14,M93='Tabla Impacto'!$D$14),"Mayor",IF(OR(M93='Tabla Impacto'!$C$15,M93='Tabla Impacto'!$D$15),"Catastrófico","")))))</f>
        <v/>
      </c>
      <c r="O93" s="219" t="str">
        <f>IF(N93="","",IF(N93="Leve",0.2,IF(N93="Menor",0.4,IF(N93="Moderado",0.6,IF(N93="Mayor",0.8,IF(N93="Catastrófico",1,))))))</f>
        <v/>
      </c>
      <c r="P93" s="221" t="str">
        <f>IF(OR(AND(J93="Muy Baja",N93="Leve"),AND(J93="Muy Baja",N93="Menor"),AND(J93="Baja",N93="Leve")),"Bajo",IF(OR(AND(J93="Muy baja",N93="Moderado"),AND(J93="Baja",N93="Menor"),AND(J93="Baja",N93="Moderado"),AND(J93="Media",N93="Leve"),AND(J93="Media",N93="Menor"),AND(J93="Media",N93="Moderado"),AND(J93="Alta",N93="Leve"),AND(J93="Alta",N93="Menor")),"Moderado",IF(OR(AND(J93="Muy Baja",N93="Mayor"),AND(J93="Baja",N93="Mayor"),AND(J93="Media",N93="Mayor"),AND(J93="Alta",N93="Moderado"),AND(J93="Alta",N93="Mayor"),AND(J93="Muy Alta",N93="Leve"),AND(J93="Muy Alta",N93="Menor"),AND(J93="Muy Alta",N93="Moderado"),AND(J93="Muy Alta",N93="Mayor")),"Alto",IF(OR(AND(J93="Muy Baja",N93="Catastrófico"),AND(J93="Baja",N93="Catastrófico"),AND(J93="Media",N93="Catastrófico"),AND(J93="Alta",N93="Catastrófico"),AND(J93="Muy Alta",N93="Catastrófico")),"Extremo",""))))</f>
        <v/>
      </c>
      <c r="Q93" s="113">
        <v>1</v>
      </c>
      <c r="R93" s="114"/>
      <c r="S93" s="115" t="str">
        <f>IF(OR(T93="Preventivo",T93="Detectivo"),"Probabilidad",IF(T93="Correctivo","Impacto",""))</f>
        <v/>
      </c>
      <c r="T93" s="116"/>
      <c r="U93" s="116"/>
      <c r="V93" s="117" t="str">
        <f>IF(AND(T93="Preventivo",U93="Automático"),"50%",IF(AND(T93="Preventivo",U93="Manual"),"40%",IF(AND(T93="Detectivo",U93="Automático"),"40%",IF(AND(T93="Detectivo",U93="Manual"),"30%",IF(AND(T93="Correctivo",U93="Automático"),"35%",IF(AND(T93="Correctivo",U93="Manual"),"25%",""))))))</f>
        <v/>
      </c>
      <c r="W93" s="116"/>
      <c r="X93" s="116"/>
      <c r="Y93" s="116"/>
      <c r="Z93" s="118" t="str">
        <f>IFERROR(IF(S93="Probabilidad",(K93-(+K93*V93)),IF(S93="Impacto",K93,"")),"")</f>
        <v/>
      </c>
      <c r="AA93" s="119" t="str">
        <f>IFERROR(IF(Z93="","",IF(Z93&lt;=0.2,"Muy Baja",IF(Z93&lt;=0.4,"Baja",IF(Z93&lt;=0.6,"Media",IF(Z93&lt;=0.8,"Alta","Muy Alta"))))),"")</f>
        <v/>
      </c>
      <c r="AB93" s="117" t="str">
        <f>+Z93</f>
        <v/>
      </c>
      <c r="AC93" s="119" t="str">
        <f>IFERROR(IF(AD93="","",IF(AD93&lt;=0.2,"Leve",IF(AD93&lt;=0.4,"Menor",IF(AD93&lt;=0.6,"Moderado",IF(AD93&lt;=0.8,"Mayor","Catastrófico"))))),"")</f>
        <v/>
      </c>
      <c r="AD93" s="117" t="str">
        <f>IFERROR(IF(S93="Impacto",(O93-(+O93*V93)),IF(S93="Probabilidad",O93,"")),"")</f>
        <v/>
      </c>
      <c r="AE93" s="120" t="str">
        <f>IFERROR(IF(OR(AND(AA93="Muy Baja",AC93="Leve"),AND(AA93="Muy Baja",AC93="Menor"),AND(AA93="Baja",AC93="Leve")),"Bajo",IF(OR(AND(AA93="Muy baja",AC93="Moderado"),AND(AA93="Baja",AC93="Menor"),AND(AA93="Baja",AC93="Moderado"),AND(AA93="Media",AC93="Leve"),AND(AA93="Media",AC93="Menor"),AND(AA93="Media",AC93="Moderado"),AND(AA93="Alta",AC93="Leve"),AND(AA93="Alta",AC93="Menor")),"Moderado",IF(OR(AND(AA93="Muy Baja",AC93="Mayor"),AND(AA93="Baja",AC93="Mayor"),AND(AA93="Media",AC93="Mayor"),AND(AA93="Alta",AC93="Moderado"),AND(AA93="Alta",AC93="Mayor"),AND(AA93="Muy Alta",AC93="Leve"),AND(AA93="Muy Alta",AC93="Menor"),AND(AA93="Muy Alta",AC93="Moderado"),AND(AA93="Muy Alta",AC93="Mayor")),"Alto",IF(OR(AND(AA93="Muy Baja",AC93="Catastrófico"),AND(AA93="Baja",AC93="Catastrófico"),AND(AA93="Media",AC93="Catastrófico"),AND(AA93="Alta",AC93="Catastrófico"),AND(AA93="Muy Alta",AC93="Catastrófico")),"Extremo","")))),"")</f>
        <v/>
      </c>
      <c r="AF93" s="116"/>
      <c r="AG93" s="121"/>
      <c r="AH93" s="122"/>
      <c r="AI93" s="123"/>
      <c r="AJ93" s="123"/>
      <c r="AK93" s="121"/>
      <c r="AL93" s="122"/>
    </row>
    <row r="94" spans="1:38" x14ac:dyDescent="0.3">
      <c r="A94" s="222"/>
      <c r="B94" s="139"/>
      <c r="C94" s="139"/>
      <c r="D94" s="223"/>
      <c r="E94" s="213"/>
      <c r="F94" s="141"/>
      <c r="G94" s="223"/>
      <c r="H94" s="140"/>
      <c r="I94" s="224"/>
      <c r="J94" s="220"/>
      <c r="K94" s="219"/>
      <c r="L94" s="218"/>
      <c r="M94" s="219">
        <f t="shared" ref="M94:M98" ca="1" si="98">IF(NOT(ISERROR(MATCH(L94,_xlfn.ANCHORARRAY(E105),0))),K107&amp;"Por favor no seleccionar los criterios de impacto",L94)</f>
        <v>0</v>
      </c>
      <c r="N94" s="220"/>
      <c r="O94" s="219"/>
      <c r="P94" s="221"/>
      <c r="Q94" s="113">
        <v>2</v>
      </c>
      <c r="R94" s="114"/>
      <c r="S94" s="115" t="str">
        <f>IF(OR(T94="Preventivo",T94="Detectivo"),"Probabilidad",IF(T94="Correctivo","Impacto",""))</f>
        <v/>
      </c>
      <c r="T94" s="116"/>
      <c r="U94" s="116"/>
      <c r="V94" s="117" t="str">
        <f t="shared" ref="V94:V98" si="99">IF(AND(T94="Preventivo",U94="Automático"),"50%",IF(AND(T94="Preventivo",U94="Manual"),"40%",IF(AND(T94="Detectivo",U94="Automático"),"40%",IF(AND(T94="Detectivo",U94="Manual"),"30%",IF(AND(T94="Correctivo",U94="Automático"),"35%",IF(AND(T94="Correctivo",U94="Manual"),"25%",""))))))</f>
        <v/>
      </c>
      <c r="W94" s="116"/>
      <c r="X94" s="116"/>
      <c r="Y94" s="116"/>
      <c r="Z94" s="118" t="str">
        <f>IFERROR(IF(AND(S93="Probabilidad",S94="Probabilidad"),(AB93-(+AB93*V94)),IF(S94="Probabilidad",(K93-(+K93*V94)),IF(S94="Impacto",AB93,""))),"")</f>
        <v/>
      </c>
      <c r="AA94" s="119" t="str">
        <f t="shared" ref="AA94:AA96" si="100">IFERROR(IF(Z94="","",IF(Z94&lt;=0.2,"Muy Baja",IF(Z94&lt;=0.4,"Baja",IF(Z94&lt;=0.6,"Media",IF(Z94&lt;=0.8,"Alta","Muy Alta"))))),"")</f>
        <v/>
      </c>
      <c r="AB94" s="117" t="str">
        <f t="shared" ref="AB94:AB98" si="101">+Z94</f>
        <v/>
      </c>
      <c r="AC94" s="119" t="str">
        <f t="shared" ref="AC94:AC98" si="102">IFERROR(IF(AD94="","",IF(AD94&lt;=0.2,"Leve",IF(AD94&lt;=0.4,"Menor",IF(AD94&lt;=0.6,"Moderado",IF(AD94&lt;=0.8,"Mayor","Catastrófico"))))),"")</f>
        <v/>
      </c>
      <c r="AD94" s="117" t="str">
        <f>IFERROR(IF(AND(S93="Impacto",S94="Impacto"),(AD87-(+AD87*V94)),IF(S94="Impacto",($O$27-(+$O$27*V94)),IF(S94="Probabilidad",AD87,""))),"")</f>
        <v/>
      </c>
      <c r="AE94" s="120" t="str">
        <f t="shared" ref="AE94:AE95" si="103">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6"/>
      <c r="AG94" s="121"/>
      <c r="AH94" s="122"/>
      <c r="AI94" s="123"/>
      <c r="AJ94" s="123"/>
      <c r="AK94" s="121"/>
      <c r="AL94" s="122"/>
    </row>
    <row r="95" spans="1:38" x14ac:dyDescent="0.3">
      <c r="A95" s="222"/>
      <c r="B95" s="139"/>
      <c r="C95" s="139"/>
      <c r="D95" s="223"/>
      <c r="E95" s="213"/>
      <c r="F95" s="141"/>
      <c r="G95" s="223"/>
      <c r="H95" s="140"/>
      <c r="I95" s="224"/>
      <c r="J95" s="220"/>
      <c r="K95" s="219"/>
      <c r="L95" s="218"/>
      <c r="M95" s="219">
        <f t="shared" ca="1" si="98"/>
        <v>0</v>
      </c>
      <c r="N95" s="220"/>
      <c r="O95" s="219"/>
      <c r="P95" s="221"/>
      <c r="Q95" s="113">
        <v>3</v>
      </c>
      <c r="R95" s="126"/>
      <c r="S95" s="115" t="str">
        <f>IF(OR(T95="Preventivo",T95="Detectivo"),"Probabilidad",IF(T95="Correctivo","Impacto",""))</f>
        <v/>
      </c>
      <c r="T95" s="116"/>
      <c r="U95" s="116"/>
      <c r="V95" s="117" t="str">
        <f t="shared" si="99"/>
        <v/>
      </c>
      <c r="W95" s="116"/>
      <c r="X95" s="116"/>
      <c r="Y95" s="116"/>
      <c r="Z95" s="118" t="str">
        <f>IFERROR(IF(AND(S94="Probabilidad",S95="Probabilidad"),(AB94-(+AB94*V95)),IF(AND(S94="Impacto",S95="Probabilidad"),(AB93-(+AB93*V95)),IF(S95="Impacto",AB94,""))),"")</f>
        <v/>
      </c>
      <c r="AA95" s="119" t="str">
        <f t="shared" si="100"/>
        <v/>
      </c>
      <c r="AB95" s="117" t="str">
        <f t="shared" si="101"/>
        <v/>
      </c>
      <c r="AC95" s="119" t="str">
        <f t="shared" si="102"/>
        <v/>
      </c>
      <c r="AD95" s="117" t="str">
        <f>IFERROR(IF(AND(S94="Impacto",S95="Impacto"),(AD94-(+AD94*V95)),IF(AND(S94="Probabilidad",S95="Impacto"),(AD93-(+AD93*V95)),IF(S95="Probabilidad",AD94,""))),"")</f>
        <v/>
      </c>
      <c r="AE95" s="120" t="str">
        <f t="shared" si="103"/>
        <v/>
      </c>
      <c r="AF95" s="116"/>
      <c r="AG95" s="121"/>
      <c r="AH95" s="122"/>
      <c r="AI95" s="123"/>
      <c r="AJ95" s="123"/>
      <c r="AK95" s="121"/>
      <c r="AL95" s="122"/>
    </row>
    <row r="96" spans="1:38" x14ac:dyDescent="0.3">
      <c r="A96" s="222"/>
      <c r="B96" s="139"/>
      <c r="C96" s="139"/>
      <c r="D96" s="223"/>
      <c r="E96" s="213"/>
      <c r="F96" s="141"/>
      <c r="G96" s="223"/>
      <c r="H96" s="140"/>
      <c r="I96" s="224"/>
      <c r="J96" s="220"/>
      <c r="K96" s="219"/>
      <c r="L96" s="218"/>
      <c r="M96" s="219">
        <f t="shared" ca="1" si="98"/>
        <v>0</v>
      </c>
      <c r="N96" s="220"/>
      <c r="O96" s="219"/>
      <c r="P96" s="221"/>
      <c r="Q96" s="113">
        <v>4</v>
      </c>
      <c r="R96" s="114"/>
      <c r="S96" s="115" t="str">
        <f t="shared" ref="S96:S98" si="104">IF(OR(T96="Preventivo",T96="Detectivo"),"Probabilidad",IF(T96="Correctivo","Impacto",""))</f>
        <v/>
      </c>
      <c r="T96" s="116"/>
      <c r="U96" s="116"/>
      <c r="V96" s="117" t="str">
        <f t="shared" si="99"/>
        <v/>
      </c>
      <c r="W96" s="116"/>
      <c r="X96" s="116"/>
      <c r="Y96" s="116"/>
      <c r="Z96" s="118" t="str">
        <f t="shared" ref="Z96:Z98" si="105">IFERROR(IF(AND(S95="Probabilidad",S96="Probabilidad"),(AB95-(+AB95*V96)),IF(AND(S95="Impacto",S96="Probabilidad"),(AB94-(+AB94*V96)),IF(S96="Impacto",AB95,""))),"")</f>
        <v/>
      </c>
      <c r="AA96" s="119" t="str">
        <f t="shared" si="100"/>
        <v/>
      </c>
      <c r="AB96" s="117" t="str">
        <f t="shared" si="101"/>
        <v/>
      </c>
      <c r="AC96" s="119" t="str">
        <f t="shared" si="102"/>
        <v/>
      </c>
      <c r="AD96" s="117" t="str">
        <f t="shared" ref="AD96:AD98" si="106">IFERROR(IF(AND(S95="Impacto",S96="Impacto"),(AD95-(+AD95*V96)),IF(AND(S95="Probabilidad",S96="Impacto"),(AD94-(+AD94*V96)),IF(S96="Probabilidad",AD95,""))),"")</f>
        <v/>
      </c>
      <c r="AE96" s="120" t="str">
        <f>IFERROR(IF(OR(AND(AA96="Muy Baja",AC96="Leve"),AND(AA96="Muy Baja",AC96="Menor"),AND(AA96="Baja",AC96="Leve")),"Bajo",IF(OR(AND(AA96="Muy baja",AC96="Moderado"),AND(AA96="Baja",AC96="Menor"),AND(AA96="Baja",AC96="Moderado"),AND(AA96="Media",AC96="Leve"),AND(AA96="Media",AC96="Menor"),AND(AA96="Media",AC96="Moderado"),AND(AA96="Alta",AC96="Leve"),AND(AA96="Alta",AC96="Menor")),"Moderado",IF(OR(AND(AA96="Muy Baja",AC96="Mayor"),AND(AA96="Baja",AC96="Mayor"),AND(AA96="Media",AC96="Mayor"),AND(AA96="Alta",AC96="Moderado"),AND(AA96="Alta",AC96="Mayor"),AND(AA96="Muy Alta",AC96="Leve"),AND(AA96="Muy Alta",AC96="Menor"),AND(AA96="Muy Alta",AC96="Moderado"),AND(AA96="Muy Alta",AC96="Mayor")),"Alto",IF(OR(AND(AA96="Muy Baja",AC96="Catastrófico"),AND(AA96="Baja",AC96="Catastrófico"),AND(AA96="Media",AC96="Catastrófico"),AND(AA96="Alta",AC96="Catastrófico"),AND(AA96="Muy Alta",AC96="Catastrófico")),"Extremo","")))),"")</f>
        <v/>
      </c>
      <c r="AF96" s="116"/>
      <c r="AG96" s="121"/>
      <c r="AH96" s="122"/>
      <c r="AI96" s="123"/>
      <c r="AJ96" s="123"/>
      <c r="AK96" s="121"/>
      <c r="AL96" s="122"/>
    </row>
    <row r="97" spans="1:38" x14ac:dyDescent="0.3">
      <c r="A97" s="222"/>
      <c r="B97" s="139"/>
      <c r="C97" s="139"/>
      <c r="D97" s="223"/>
      <c r="E97" s="213"/>
      <c r="F97" s="141"/>
      <c r="G97" s="223"/>
      <c r="H97" s="140"/>
      <c r="I97" s="224"/>
      <c r="J97" s="220"/>
      <c r="K97" s="219"/>
      <c r="L97" s="218"/>
      <c r="M97" s="219">
        <f t="shared" ca="1" si="98"/>
        <v>0</v>
      </c>
      <c r="N97" s="220"/>
      <c r="O97" s="219"/>
      <c r="P97" s="221"/>
      <c r="Q97" s="113">
        <v>5</v>
      </c>
      <c r="R97" s="114"/>
      <c r="S97" s="115" t="str">
        <f t="shared" si="104"/>
        <v/>
      </c>
      <c r="T97" s="116"/>
      <c r="U97" s="116"/>
      <c r="V97" s="117" t="str">
        <f t="shared" si="99"/>
        <v/>
      </c>
      <c r="W97" s="116"/>
      <c r="X97" s="116"/>
      <c r="Y97" s="116"/>
      <c r="Z97" s="127" t="str">
        <f t="shared" si="105"/>
        <v/>
      </c>
      <c r="AA97" s="119" t="str">
        <f>IFERROR(IF(Z97="","",IF(Z97&lt;=0.2,"Muy Baja",IF(Z97&lt;=0.4,"Baja",IF(Z97&lt;=0.6,"Media",IF(Z97&lt;=0.8,"Alta","Muy Alta"))))),"")</f>
        <v/>
      </c>
      <c r="AB97" s="117" t="str">
        <f t="shared" si="101"/>
        <v/>
      </c>
      <c r="AC97" s="119" t="str">
        <f t="shared" si="102"/>
        <v/>
      </c>
      <c r="AD97" s="117" t="str">
        <f t="shared" si="106"/>
        <v/>
      </c>
      <c r="AE97" s="120" t="str">
        <f t="shared" ref="AE97:AE98" si="107">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6"/>
      <c r="AG97" s="121"/>
      <c r="AH97" s="122"/>
      <c r="AI97" s="123"/>
      <c r="AJ97" s="123"/>
      <c r="AK97" s="121"/>
      <c r="AL97" s="122"/>
    </row>
    <row r="98" spans="1:38" x14ac:dyDescent="0.3">
      <c r="A98" s="222"/>
      <c r="B98" s="139"/>
      <c r="C98" s="139"/>
      <c r="D98" s="223"/>
      <c r="E98" s="213"/>
      <c r="F98" s="141"/>
      <c r="G98" s="223"/>
      <c r="H98" s="140"/>
      <c r="I98" s="224"/>
      <c r="J98" s="220"/>
      <c r="K98" s="219"/>
      <c r="L98" s="218"/>
      <c r="M98" s="219">
        <f t="shared" ca="1" si="98"/>
        <v>0</v>
      </c>
      <c r="N98" s="220"/>
      <c r="O98" s="219"/>
      <c r="P98" s="221"/>
      <c r="Q98" s="113">
        <v>6</v>
      </c>
      <c r="R98" s="114"/>
      <c r="S98" s="115" t="str">
        <f t="shared" si="104"/>
        <v/>
      </c>
      <c r="T98" s="116"/>
      <c r="U98" s="116"/>
      <c r="V98" s="117" t="str">
        <f t="shared" si="99"/>
        <v/>
      </c>
      <c r="W98" s="116"/>
      <c r="X98" s="116"/>
      <c r="Y98" s="116"/>
      <c r="Z98" s="118" t="str">
        <f t="shared" si="105"/>
        <v/>
      </c>
      <c r="AA98" s="119" t="str">
        <f t="shared" ref="AA98" si="108">IFERROR(IF(Z98="","",IF(Z98&lt;=0.2,"Muy Baja",IF(Z98&lt;=0.4,"Baja",IF(Z98&lt;=0.6,"Media",IF(Z98&lt;=0.8,"Alta","Muy Alta"))))),"")</f>
        <v/>
      </c>
      <c r="AB98" s="117" t="str">
        <f t="shared" si="101"/>
        <v/>
      </c>
      <c r="AC98" s="119" t="str">
        <f t="shared" si="102"/>
        <v/>
      </c>
      <c r="AD98" s="117" t="str">
        <f t="shared" si="106"/>
        <v/>
      </c>
      <c r="AE98" s="120" t="str">
        <f t="shared" si="107"/>
        <v/>
      </c>
      <c r="AF98" s="116"/>
      <c r="AG98" s="121"/>
      <c r="AH98" s="122"/>
      <c r="AI98" s="123"/>
      <c r="AJ98" s="123"/>
      <c r="AK98" s="121"/>
      <c r="AL98" s="122"/>
    </row>
    <row r="99" spans="1:38" x14ac:dyDescent="0.3">
      <c r="A99" s="222">
        <v>5</v>
      </c>
      <c r="B99" s="139"/>
      <c r="C99" s="139"/>
      <c r="D99" s="223"/>
      <c r="E99" s="213"/>
      <c r="F99" s="141"/>
      <c r="G99" s="223"/>
      <c r="H99" s="140"/>
      <c r="I99" s="224"/>
      <c r="J99" s="220" t="str">
        <f>IF(I99&lt;=0,"",IF(I99&lt;=2,"Muy Baja",IF(I99&lt;=24,"Baja",IF(I99&lt;=500,"Media",IF(I99&lt;=5000,"Alta","Muy Alta")))))</f>
        <v/>
      </c>
      <c r="K99" s="219" t="str">
        <f>IF(J99="","",IF(J99="Muy Baja",0.2,IF(J99="Baja",0.4,IF(J99="Media",0.6,IF(J99="Alta",0.8,IF(J99="Muy Alta",1,))))))</f>
        <v/>
      </c>
      <c r="L99" s="218"/>
      <c r="M99" s="219">
        <f>IF(NOT(ISERROR(MATCH(L99,'Tabla Impacto'!$B$221:$B$223,0))),'Tabla Impacto'!$F$223&amp;"Por favor no seleccionar los criterios de impacto(Afectación Económica o presupuestal y Pérdida Reputacional)",L99)</f>
        <v>0</v>
      </c>
      <c r="N99" s="220" t="str">
        <f>IF(OR(M99='Tabla Impacto'!$C$11,M99='Tabla Impacto'!$D$11),"Leve",IF(OR(M99='Tabla Impacto'!$C$12,M99='Tabla Impacto'!$D$12),"Menor",IF(OR(M99='Tabla Impacto'!$C$13,M99='Tabla Impacto'!$D$13),"Moderado",IF(OR(M99='Tabla Impacto'!$C$14,M99='Tabla Impacto'!$D$14),"Mayor",IF(OR(M99='Tabla Impacto'!$C$15,M99='Tabla Impacto'!$D$15),"Catastrófico","")))))</f>
        <v/>
      </c>
      <c r="O99" s="219" t="str">
        <f>IF(N99="","",IF(N99="Leve",0.2,IF(N99="Menor",0.4,IF(N99="Moderado",0.6,IF(N99="Mayor",0.8,IF(N99="Catastrófico",1,))))))</f>
        <v/>
      </c>
      <c r="P99" s="221" t="str">
        <f>IF(OR(AND(J99="Muy Baja",N99="Leve"),AND(J99="Muy Baja",N99="Menor"),AND(J99="Baja",N99="Leve")),"Bajo",IF(OR(AND(J99="Muy baja",N99="Moderado"),AND(J99="Baja",N99="Menor"),AND(J99="Baja",N99="Moderado"),AND(J99="Media",N99="Leve"),AND(J99="Media",N99="Menor"),AND(J99="Media",N99="Moderado"),AND(J99="Alta",N99="Leve"),AND(J99="Alta",N99="Menor")),"Moderado",IF(OR(AND(J99="Muy Baja",N99="Mayor"),AND(J99="Baja",N99="Mayor"),AND(J99="Media",N99="Mayor"),AND(J99="Alta",N99="Moderado"),AND(J99="Alta",N99="Mayor"),AND(J99="Muy Alta",N99="Leve"),AND(J99="Muy Alta",N99="Menor"),AND(J99="Muy Alta",N99="Moderado"),AND(J99="Muy Alta",N99="Mayor")),"Alto",IF(OR(AND(J99="Muy Baja",N99="Catastrófico"),AND(J99="Baja",N99="Catastrófico"),AND(J99="Media",N99="Catastrófico"),AND(J99="Alta",N99="Catastrófico"),AND(J99="Muy Alta",N99="Catastrófico")),"Extremo",""))))</f>
        <v/>
      </c>
      <c r="Q99" s="113">
        <v>1</v>
      </c>
      <c r="R99" s="114"/>
      <c r="S99" s="115" t="str">
        <f>IF(OR(T99="Preventivo",T99="Detectivo"),"Probabilidad",IF(T99="Correctivo","Impacto",""))</f>
        <v/>
      </c>
      <c r="T99" s="116"/>
      <c r="U99" s="116"/>
      <c r="V99" s="117" t="str">
        <f>IF(AND(T99="Preventivo",U99="Automático"),"50%",IF(AND(T99="Preventivo",U99="Manual"),"40%",IF(AND(T99="Detectivo",U99="Automático"),"40%",IF(AND(T99="Detectivo",U99="Manual"),"30%",IF(AND(T99="Correctivo",U99="Automático"),"35%",IF(AND(T99="Correctivo",U99="Manual"),"25%",""))))))</f>
        <v/>
      </c>
      <c r="W99" s="116"/>
      <c r="X99" s="116"/>
      <c r="Y99" s="116"/>
      <c r="Z99" s="118" t="str">
        <f>IFERROR(IF(S99="Probabilidad",(K99-(+K99*V99)),IF(S99="Impacto",K99,"")),"")</f>
        <v/>
      </c>
      <c r="AA99" s="119" t="str">
        <f>IFERROR(IF(Z99="","",IF(Z99&lt;=0.2,"Muy Baja",IF(Z99&lt;=0.4,"Baja",IF(Z99&lt;=0.6,"Media",IF(Z99&lt;=0.8,"Alta","Muy Alta"))))),"")</f>
        <v/>
      </c>
      <c r="AB99" s="117" t="str">
        <f>+Z99</f>
        <v/>
      </c>
      <c r="AC99" s="119" t="str">
        <f>IFERROR(IF(AD99="","",IF(AD99&lt;=0.2,"Leve",IF(AD99&lt;=0.4,"Menor",IF(AD99&lt;=0.6,"Moderado",IF(AD99&lt;=0.8,"Mayor","Catastrófico"))))),"")</f>
        <v/>
      </c>
      <c r="AD99" s="117" t="str">
        <f>IFERROR(IF(S99="Impacto",(O99-(+O99*V99)),IF(S99="Probabilidad",O99,"")),"")</f>
        <v/>
      </c>
      <c r="AE99" s="120" t="str">
        <f>IFERROR(IF(OR(AND(AA99="Muy Baja",AC99="Leve"),AND(AA99="Muy Baja",AC99="Menor"),AND(AA99="Baja",AC99="Leve")),"Bajo",IF(OR(AND(AA99="Muy baja",AC99="Moderado"),AND(AA99="Baja",AC99="Menor"),AND(AA99="Baja",AC99="Moderado"),AND(AA99="Media",AC99="Leve"),AND(AA99="Media",AC99="Menor"),AND(AA99="Media",AC99="Moderado"),AND(AA99="Alta",AC99="Leve"),AND(AA99="Alta",AC99="Menor")),"Moderado",IF(OR(AND(AA99="Muy Baja",AC99="Mayor"),AND(AA99="Baja",AC99="Mayor"),AND(AA99="Media",AC99="Mayor"),AND(AA99="Alta",AC99="Moderado"),AND(AA99="Alta",AC99="Mayor"),AND(AA99="Muy Alta",AC99="Leve"),AND(AA99="Muy Alta",AC99="Menor"),AND(AA99="Muy Alta",AC99="Moderado"),AND(AA99="Muy Alta",AC99="Mayor")),"Alto",IF(OR(AND(AA99="Muy Baja",AC99="Catastrófico"),AND(AA99="Baja",AC99="Catastrófico"),AND(AA99="Media",AC99="Catastrófico"),AND(AA99="Alta",AC99="Catastrófico"),AND(AA99="Muy Alta",AC99="Catastrófico")),"Extremo","")))),"")</f>
        <v/>
      </c>
      <c r="AF99" s="116"/>
      <c r="AG99" s="121"/>
      <c r="AH99" s="122"/>
      <c r="AI99" s="123"/>
      <c r="AJ99" s="123"/>
      <c r="AK99" s="121"/>
      <c r="AL99" s="122"/>
    </row>
    <row r="100" spans="1:38" x14ac:dyDescent="0.3">
      <c r="A100" s="222"/>
      <c r="B100" s="139"/>
      <c r="C100" s="139"/>
      <c r="D100" s="223"/>
      <c r="E100" s="213"/>
      <c r="F100" s="141"/>
      <c r="G100" s="223"/>
      <c r="H100" s="140"/>
      <c r="I100" s="224"/>
      <c r="J100" s="220"/>
      <c r="K100" s="219"/>
      <c r="L100" s="218"/>
      <c r="M100" s="219">
        <f t="shared" ref="M100:M104" ca="1" si="109">IF(NOT(ISERROR(MATCH(L100,_xlfn.ANCHORARRAY(E111),0))),K113&amp;"Por favor no seleccionar los criterios de impacto",L100)</f>
        <v>0</v>
      </c>
      <c r="N100" s="220"/>
      <c r="O100" s="219"/>
      <c r="P100" s="221"/>
      <c r="Q100" s="113">
        <v>2</v>
      </c>
      <c r="R100" s="114"/>
      <c r="S100" s="115" t="str">
        <f>IF(OR(T100="Preventivo",T100="Detectivo"),"Probabilidad",IF(T100="Correctivo","Impacto",""))</f>
        <v/>
      </c>
      <c r="T100" s="116"/>
      <c r="U100" s="116"/>
      <c r="V100" s="117" t="str">
        <f t="shared" ref="V100:V104" si="110">IF(AND(T100="Preventivo",U100="Automático"),"50%",IF(AND(T100="Preventivo",U100="Manual"),"40%",IF(AND(T100="Detectivo",U100="Automático"),"40%",IF(AND(T100="Detectivo",U100="Manual"),"30%",IF(AND(T100="Correctivo",U100="Automático"),"35%",IF(AND(T100="Correctivo",U100="Manual"),"25%",""))))))</f>
        <v/>
      </c>
      <c r="W100" s="116"/>
      <c r="X100" s="116"/>
      <c r="Y100" s="116"/>
      <c r="Z100" s="118" t="str">
        <f>IFERROR(IF(AND(S99="Probabilidad",S100="Probabilidad"),(AB99-(+AB99*V100)),IF(S100="Probabilidad",(K99-(+K99*V100)),IF(S100="Impacto",AB99,""))),"")</f>
        <v/>
      </c>
      <c r="AA100" s="119" t="str">
        <f t="shared" ref="AA100:AA104" si="111">IFERROR(IF(Z100="","",IF(Z100&lt;=0.2,"Muy Baja",IF(Z100&lt;=0.4,"Baja",IF(Z100&lt;=0.6,"Media",IF(Z100&lt;=0.8,"Alta","Muy Alta"))))),"")</f>
        <v/>
      </c>
      <c r="AB100" s="117" t="str">
        <f t="shared" ref="AB100:AB104" si="112">+Z100</f>
        <v/>
      </c>
      <c r="AC100" s="119" t="str">
        <f t="shared" ref="AC100:AC104" si="113">IFERROR(IF(AD100="","",IF(AD100&lt;=0.2,"Leve",IF(AD100&lt;=0.4,"Menor",IF(AD100&lt;=0.6,"Moderado",IF(AD100&lt;=0.8,"Mayor","Catastrófico"))))),"")</f>
        <v/>
      </c>
      <c r="AD100" s="117" t="str">
        <f>IFERROR(IF(AND(S99="Impacto",S100="Impacto"),(AD93-(+AD93*V100)),IF(S100="Impacto",($O$39-(+$O$39*V100)),IF(S100="Probabilidad",AD93,""))),"")</f>
        <v/>
      </c>
      <c r="AE100" s="120" t="str">
        <f t="shared" ref="AE100:AE101" si="114">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6"/>
      <c r="AG100" s="121"/>
      <c r="AH100" s="122"/>
      <c r="AI100" s="123"/>
      <c r="AJ100" s="123"/>
      <c r="AK100" s="121"/>
      <c r="AL100" s="122"/>
    </row>
    <row r="101" spans="1:38" x14ac:dyDescent="0.3">
      <c r="A101" s="222"/>
      <c r="B101" s="139"/>
      <c r="C101" s="139"/>
      <c r="D101" s="223"/>
      <c r="E101" s="213"/>
      <c r="F101" s="141"/>
      <c r="G101" s="223"/>
      <c r="H101" s="140"/>
      <c r="I101" s="224"/>
      <c r="J101" s="220"/>
      <c r="K101" s="219"/>
      <c r="L101" s="218"/>
      <c r="M101" s="219">
        <f t="shared" ca="1" si="109"/>
        <v>0</v>
      </c>
      <c r="N101" s="220"/>
      <c r="O101" s="219"/>
      <c r="P101" s="221"/>
      <c r="Q101" s="113">
        <v>3</v>
      </c>
      <c r="R101" s="126"/>
      <c r="S101" s="115" t="str">
        <f>IF(OR(T101="Preventivo",T101="Detectivo"),"Probabilidad",IF(T101="Correctivo","Impacto",""))</f>
        <v/>
      </c>
      <c r="T101" s="116"/>
      <c r="U101" s="116"/>
      <c r="V101" s="117" t="str">
        <f t="shared" si="110"/>
        <v/>
      </c>
      <c r="W101" s="116"/>
      <c r="X101" s="116"/>
      <c r="Y101" s="116"/>
      <c r="Z101" s="118" t="str">
        <f>IFERROR(IF(AND(S100="Probabilidad",S101="Probabilidad"),(AB100-(+AB100*V101)),IF(AND(S100="Impacto",S101="Probabilidad"),(AB99-(+AB99*V101)),IF(S101="Impacto",AB100,""))),"")</f>
        <v/>
      </c>
      <c r="AA101" s="119" t="str">
        <f t="shared" si="111"/>
        <v/>
      </c>
      <c r="AB101" s="117" t="str">
        <f t="shared" si="112"/>
        <v/>
      </c>
      <c r="AC101" s="119" t="str">
        <f t="shared" si="113"/>
        <v/>
      </c>
      <c r="AD101" s="117" t="str">
        <f>IFERROR(IF(AND(S100="Impacto",S101="Impacto"),(AD100-(+AD100*V101)),IF(AND(S100="Probabilidad",S101="Impacto"),(AD99-(+AD99*V101)),IF(S101="Probabilidad",AD100,""))),"")</f>
        <v/>
      </c>
      <c r="AE101" s="120" t="str">
        <f t="shared" si="114"/>
        <v/>
      </c>
      <c r="AF101" s="116"/>
      <c r="AG101" s="121"/>
      <c r="AH101" s="122"/>
      <c r="AI101" s="123"/>
      <c r="AJ101" s="123"/>
      <c r="AK101" s="121"/>
      <c r="AL101" s="122"/>
    </row>
    <row r="102" spans="1:38" x14ac:dyDescent="0.3">
      <c r="A102" s="222"/>
      <c r="B102" s="139"/>
      <c r="C102" s="139"/>
      <c r="D102" s="223"/>
      <c r="E102" s="213"/>
      <c r="F102" s="141"/>
      <c r="G102" s="223"/>
      <c r="H102" s="140"/>
      <c r="I102" s="224"/>
      <c r="J102" s="220"/>
      <c r="K102" s="219"/>
      <c r="L102" s="218"/>
      <c r="M102" s="219">
        <f t="shared" ca="1" si="109"/>
        <v>0</v>
      </c>
      <c r="N102" s="220"/>
      <c r="O102" s="219"/>
      <c r="P102" s="221"/>
      <c r="Q102" s="113">
        <v>4</v>
      </c>
      <c r="R102" s="114"/>
      <c r="S102" s="115" t="str">
        <f t="shared" ref="S102:S104" si="115">IF(OR(T102="Preventivo",T102="Detectivo"),"Probabilidad",IF(T102="Correctivo","Impacto",""))</f>
        <v/>
      </c>
      <c r="T102" s="116"/>
      <c r="U102" s="116"/>
      <c r="V102" s="117" t="str">
        <f t="shared" si="110"/>
        <v/>
      </c>
      <c r="W102" s="116"/>
      <c r="X102" s="116"/>
      <c r="Y102" s="116"/>
      <c r="Z102" s="118" t="str">
        <f t="shared" ref="Z102:Z104" si="116">IFERROR(IF(AND(S101="Probabilidad",S102="Probabilidad"),(AB101-(+AB101*V102)),IF(AND(S101="Impacto",S102="Probabilidad"),(AB100-(+AB100*V102)),IF(S102="Impacto",AB101,""))),"")</f>
        <v/>
      </c>
      <c r="AA102" s="119" t="str">
        <f t="shared" si="111"/>
        <v/>
      </c>
      <c r="AB102" s="117" t="str">
        <f t="shared" si="112"/>
        <v/>
      </c>
      <c r="AC102" s="119" t="str">
        <f t="shared" si="113"/>
        <v/>
      </c>
      <c r="AD102" s="117" t="str">
        <f t="shared" ref="AD102:AD104" si="117">IFERROR(IF(AND(S101="Impacto",S102="Impacto"),(AD101-(+AD101*V102)),IF(AND(S101="Probabilidad",S102="Impacto"),(AD100-(+AD100*V102)),IF(S102="Probabilidad",AD101,""))),"")</f>
        <v/>
      </c>
      <c r="AE102" s="120"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6"/>
      <c r="AG102" s="121"/>
      <c r="AH102" s="122"/>
      <c r="AI102" s="123"/>
      <c r="AJ102" s="123"/>
      <c r="AK102" s="121"/>
      <c r="AL102" s="122"/>
    </row>
    <row r="103" spans="1:38" x14ac:dyDescent="0.3">
      <c r="A103" s="222"/>
      <c r="B103" s="139"/>
      <c r="C103" s="139"/>
      <c r="D103" s="223"/>
      <c r="E103" s="213"/>
      <c r="F103" s="141"/>
      <c r="G103" s="223"/>
      <c r="H103" s="140"/>
      <c r="I103" s="224"/>
      <c r="J103" s="220"/>
      <c r="K103" s="219"/>
      <c r="L103" s="218"/>
      <c r="M103" s="219">
        <f t="shared" ca="1" si="109"/>
        <v>0</v>
      </c>
      <c r="N103" s="220"/>
      <c r="O103" s="219"/>
      <c r="P103" s="221"/>
      <c r="Q103" s="113">
        <v>5</v>
      </c>
      <c r="R103" s="114"/>
      <c r="S103" s="115" t="str">
        <f t="shared" si="115"/>
        <v/>
      </c>
      <c r="T103" s="116"/>
      <c r="U103" s="116"/>
      <c r="V103" s="117" t="str">
        <f t="shared" si="110"/>
        <v/>
      </c>
      <c r="W103" s="116"/>
      <c r="X103" s="116"/>
      <c r="Y103" s="116"/>
      <c r="Z103" s="118" t="str">
        <f t="shared" si="116"/>
        <v/>
      </c>
      <c r="AA103" s="119" t="str">
        <f t="shared" si="111"/>
        <v/>
      </c>
      <c r="AB103" s="117" t="str">
        <f t="shared" si="112"/>
        <v/>
      </c>
      <c r="AC103" s="119" t="str">
        <f t="shared" si="113"/>
        <v/>
      </c>
      <c r="AD103" s="117" t="str">
        <f t="shared" si="117"/>
        <v/>
      </c>
      <c r="AE103" s="120" t="str">
        <f t="shared" ref="AE103:AE104" si="118">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6"/>
      <c r="AG103" s="121"/>
      <c r="AH103" s="122"/>
      <c r="AI103" s="123"/>
      <c r="AJ103" s="123"/>
      <c r="AK103" s="121"/>
      <c r="AL103" s="122"/>
    </row>
    <row r="104" spans="1:38" x14ac:dyDescent="0.3">
      <c r="A104" s="222"/>
      <c r="B104" s="139"/>
      <c r="C104" s="139"/>
      <c r="D104" s="223"/>
      <c r="E104" s="213"/>
      <c r="F104" s="141"/>
      <c r="G104" s="223"/>
      <c r="H104" s="140"/>
      <c r="I104" s="224"/>
      <c r="J104" s="220"/>
      <c r="K104" s="219"/>
      <c r="L104" s="218"/>
      <c r="M104" s="219">
        <f t="shared" ca="1" si="109"/>
        <v>0</v>
      </c>
      <c r="N104" s="220"/>
      <c r="O104" s="219"/>
      <c r="P104" s="221"/>
      <c r="Q104" s="113">
        <v>6</v>
      </c>
      <c r="R104" s="114"/>
      <c r="S104" s="115" t="str">
        <f t="shared" si="115"/>
        <v/>
      </c>
      <c r="T104" s="116"/>
      <c r="U104" s="116"/>
      <c r="V104" s="117" t="str">
        <f t="shared" si="110"/>
        <v/>
      </c>
      <c r="W104" s="116"/>
      <c r="X104" s="116"/>
      <c r="Y104" s="116"/>
      <c r="Z104" s="118" t="str">
        <f t="shared" si="116"/>
        <v/>
      </c>
      <c r="AA104" s="119" t="str">
        <f t="shared" si="111"/>
        <v/>
      </c>
      <c r="AB104" s="117" t="str">
        <f t="shared" si="112"/>
        <v/>
      </c>
      <c r="AC104" s="119" t="str">
        <f t="shared" si="113"/>
        <v/>
      </c>
      <c r="AD104" s="117" t="str">
        <f t="shared" si="117"/>
        <v/>
      </c>
      <c r="AE104" s="120" t="str">
        <f t="shared" si="118"/>
        <v/>
      </c>
      <c r="AF104" s="116"/>
      <c r="AG104" s="121"/>
      <c r="AH104" s="122"/>
      <c r="AI104" s="123"/>
      <c r="AJ104" s="123"/>
      <c r="AK104" s="121"/>
      <c r="AL104" s="122"/>
    </row>
    <row r="105" spans="1:38" x14ac:dyDescent="0.3">
      <c r="A105" s="222">
        <v>6</v>
      </c>
      <c r="B105" s="139"/>
      <c r="C105" s="139"/>
      <c r="D105" s="223"/>
      <c r="E105" s="213"/>
      <c r="F105" s="141"/>
      <c r="G105" s="223"/>
      <c r="H105" s="140"/>
      <c r="I105" s="224"/>
      <c r="J105" s="220" t="str">
        <f>IF(I105&lt;=0,"",IF(I105&lt;=2,"Muy Baja",IF(I105&lt;=24,"Baja",IF(I105&lt;=500,"Media",IF(I105&lt;=5000,"Alta","Muy Alta")))))</f>
        <v/>
      </c>
      <c r="K105" s="219" t="str">
        <f>IF(J105="","",IF(J105="Muy Baja",0.2,IF(J105="Baja",0.4,IF(J105="Media",0.6,IF(J105="Alta",0.8,IF(J105="Muy Alta",1,))))))</f>
        <v/>
      </c>
      <c r="L105" s="218"/>
      <c r="M105" s="219">
        <f>IF(NOT(ISERROR(MATCH(L105,'Tabla Impacto'!$B$221:$B$223,0))),'Tabla Impacto'!$F$223&amp;"Por favor no seleccionar los criterios de impacto(Afectación Económica o presupuestal y Pérdida Reputacional)",L105)</f>
        <v>0</v>
      </c>
      <c r="N105" s="220" t="str">
        <f>IF(OR(M105='Tabla Impacto'!$C$11,M105='Tabla Impacto'!$D$11),"Leve",IF(OR(M105='Tabla Impacto'!$C$12,M105='Tabla Impacto'!$D$12),"Menor",IF(OR(M105='Tabla Impacto'!$C$13,M105='Tabla Impacto'!$D$13),"Moderado",IF(OR(M105='Tabla Impacto'!$C$14,M105='Tabla Impacto'!$D$14),"Mayor",IF(OR(M105='Tabla Impacto'!$C$15,M105='Tabla Impacto'!$D$15),"Catastrófico","")))))</f>
        <v/>
      </c>
      <c r="O105" s="219" t="str">
        <f>IF(N105="","",IF(N105="Leve",0.2,IF(N105="Menor",0.4,IF(N105="Moderado",0.6,IF(N105="Mayor",0.8,IF(N105="Catastrófico",1,))))))</f>
        <v/>
      </c>
      <c r="P105" s="221" t="str">
        <f>IF(OR(AND(J105="Muy Baja",N105="Leve"),AND(J105="Muy Baja",N105="Menor"),AND(J105="Baja",N105="Leve")),"Bajo",IF(OR(AND(J105="Muy baja",N105="Moderado"),AND(J105="Baja",N105="Menor"),AND(J105="Baja",N105="Moderado"),AND(J105="Media",N105="Leve"),AND(J105="Media",N105="Menor"),AND(J105="Media",N105="Moderado"),AND(J105="Alta",N105="Leve"),AND(J105="Alta",N105="Menor")),"Moderado",IF(OR(AND(J105="Muy Baja",N105="Mayor"),AND(J105="Baja",N105="Mayor"),AND(J105="Media",N105="Mayor"),AND(J105="Alta",N105="Moderado"),AND(J105="Alta",N105="Mayor"),AND(J105="Muy Alta",N105="Leve"),AND(J105="Muy Alta",N105="Menor"),AND(J105="Muy Alta",N105="Moderado"),AND(J105="Muy Alta",N105="Mayor")),"Alto",IF(OR(AND(J105="Muy Baja",N105="Catastrófico"),AND(J105="Baja",N105="Catastrófico"),AND(J105="Media",N105="Catastrófico"),AND(J105="Alta",N105="Catastrófico"),AND(J105="Muy Alta",N105="Catastrófico")),"Extremo",""))))</f>
        <v/>
      </c>
      <c r="Q105" s="113">
        <v>1</v>
      </c>
      <c r="R105" s="114"/>
      <c r="S105" s="115" t="str">
        <f>IF(OR(T105="Preventivo",T105="Detectivo"),"Probabilidad",IF(T105="Correctivo","Impacto",""))</f>
        <v/>
      </c>
      <c r="T105" s="116"/>
      <c r="U105" s="116"/>
      <c r="V105" s="117" t="str">
        <f>IF(AND(T105="Preventivo",U105="Automático"),"50%",IF(AND(T105="Preventivo",U105="Manual"),"40%",IF(AND(T105="Detectivo",U105="Automático"),"40%",IF(AND(T105="Detectivo",U105="Manual"),"30%",IF(AND(T105="Correctivo",U105="Automático"),"35%",IF(AND(T105="Correctivo",U105="Manual"),"25%",""))))))</f>
        <v/>
      </c>
      <c r="W105" s="116"/>
      <c r="X105" s="116"/>
      <c r="Y105" s="116"/>
      <c r="Z105" s="118" t="str">
        <f>IFERROR(IF(S105="Probabilidad",(K105-(+K105*V105)),IF(S105="Impacto",K105,"")),"")</f>
        <v/>
      </c>
      <c r="AA105" s="119" t="str">
        <f>IFERROR(IF(Z105="","",IF(Z105&lt;=0.2,"Muy Baja",IF(Z105&lt;=0.4,"Baja",IF(Z105&lt;=0.6,"Media",IF(Z105&lt;=0.8,"Alta","Muy Alta"))))),"")</f>
        <v/>
      </c>
      <c r="AB105" s="117" t="str">
        <f>+Z105</f>
        <v/>
      </c>
      <c r="AC105" s="119" t="str">
        <f>IFERROR(IF(AD105="","",IF(AD105&lt;=0.2,"Leve",IF(AD105&lt;=0.4,"Menor",IF(AD105&lt;=0.6,"Moderado",IF(AD105&lt;=0.8,"Mayor","Catastrófico"))))),"")</f>
        <v/>
      </c>
      <c r="AD105" s="117" t="str">
        <f>IFERROR(IF(S105="Impacto",(O105-(+O105*V105)),IF(S105="Probabilidad",O105,"")),"")</f>
        <v/>
      </c>
      <c r="AE105" s="120" t="str">
        <f>IFERROR(IF(OR(AND(AA105="Muy Baja",AC105="Leve"),AND(AA105="Muy Baja",AC105="Menor"),AND(AA105="Baja",AC105="Leve")),"Bajo",IF(OR(AND(AA105="Muy baja",AC105="Moderado"),AND(AA105="Baja",AC105="Menor"),AND(AA105="Baja",AC105="Moderado"),AND(AA105="Media",AC105="Leve"),AND(AA105="Media",AC105="Menor"),AND(AA105="Media",AC105="Moderado"),AND(AA105="Alta",AC105="Leve"),AND(AA105="Alta",AC105="Menor")),"Moderado",IF(OR(AND(AA105="Muy Baja",AC105="Mayor"),AND(AA105="Baja",AC105="Mayor"),AND(AA105="Media",AC105="Mayor"),AND(AA105="Alta",AC105="Moderado"),AND(AA105="Alta",AC105="Mayor"),AND(AA105="Muy Alta",AC105="Leve"),AND(AA105="Muy Alta",AC105="Menor"),AND(AA105="Muy Alta",AC105="Moderado"),AND(AA105="Muy Alta",AC105="Mayor")),"Alto",IF(OR(AND(AA105="Muy Baja",AC105="Catastrófico"),AND(AA105="Baja",AC105="Catastrófico"),AND(AA105="Media",AC105="Catastrófico"),AND(AA105="Alta",AC105="Catastrófico"),AND(AA105="Muy Alta",AC105="Catastrófico")),"Extremo","")))),"")</f>
        <v/>
      </c>
      <c r="AF105" s="116"/>
      <c r="AG105" s="121"/>
      <c r="AH105" s="122"/>
      <c r="AI105" s="123"/>
      <c r="AJ105" s="123"/>
      <c r="AK105" s="121"/>
      <c r="AL105" s="122"/>
    </row>
    <row r="106" spans="1:38" x14ac:dyDescent="0.3">
      <c r="A106" s="222"/>
      <c r="B106" s="139"/>
      <c r="C106" s="139"/>
      <c r="D106" s="223"/>
      <c r="E106" s="213"/>
      <c r="F106" s="141"/>
      <c r="G106" s="223"/>
      <c r="H106" s="140"/>
      <c r="I106" s="224"/>
      <c r="J106" s="220"/>
      <c r="K106" s="219"/>
      <c r="L106" s="218"/>
      <c r="M106" s="219">
        <f t="shared" ref="M106:M110" ca="1" si="119">IF(NOT(ISERROR(MATCH(L106,_xlfn.ANCHORARRAY(E117),0))),K119&amp;"Por favor no seleccionar los criterios de impacto",L106)</f>
        <v>0</v>
      </c>
      <c r="N106" s="220"/>
      <c r="O106" s="219"/>
      <c r="P106" s="221"/>
      <c r="Q106" s="113">
        <v>2</v>
      </c>
      <c r="R106" s="114"/>
      <c r="S106" s="115" t="str">
        <f>IF(OR(T106="Preventivo",T106="Detectivo"),"Probabilidad",IF(T106="Correctivo","Impacto",""))</f>
        <v/>
      </c>
      <c r="T106" s="116"/>
      <c r="U106" s="116"/>
      <c r="V106" s="117" t="str">
        <f t="shared" ref="V106:V110" si="120">IF(AND(T106="Preventivo",U106="Automático"),"50%",IF(AND(T106="Preventivo",U106="Manual"),"40%",IF(AND(T106="Detectivo",U106="Automático"),"40%",IF(AND(T106="Detectivo",U106="Manual"),"30%",IF(AND(T106="Correctivo",U106="Automático"),"35%",IF(AND(T106="Correctivo",U106="Manual"),"25%",""))))))</f>
        <v/>
      </c>
      <c r="W106" s="116"/>
      <c r="X106" s="116"/>
      <c r="Y106" s="116"/>
      <c r="Z106" s="118" t="str">
        <f>IFERROR(IF(AND(S105="Probabilidad",S106="Probabilidad"),(AB105-(+AB105*V106)),IF(S106="Probabilidad",(K105-(+K105*V106)),IF(S106="Impacto",AB105,""))),"")</f>
        <v/>
      </c>
      <c r="AA106" s="119" t="str">
        <f t="shared" ref="AA106:AA110" si="121">IFERROR(IF(Z106="","",IF(Z106&lt;=0.2,"Muy Baja",IF(Z106&lt;=0.4,"Baja",IF(Z106&lt;=0.6,"Media",IF(Z106&lt;=0.8,"Alta","Muy Alta"))))),"")</f>
        <v/>
      </c>
      <c r="AB106" s="117" t="str">
        <f t="shared" ref="AB106:AB110" si="122">+Z106</f>
        <v/>
      </c>
      <c r="AC106" s="119" t="str">
        <f t="shared" ref="AC106:AC109" si="123">IFERROR(IF(AD106="","",IF(AD106&lt;=0.2,"Leve",IF(AD106&lt;=0.4,"Menor",IF(AD106&lt;=0.6,"Moderado",IF(AD106&lt;=0.8,"Mayor","Catastrófico"))))),"")</f>
        <v/>
      </c>
      <c r="AD106" s="117" t="str">
        <f>IFERROR(IF(AND(S105="Impacto",S106="Impacto"),(AD99-(+AD99*V106)),IF(S106="Impacto",($O$45-(+$O$45*V106)),IF(S106="Probabilidad",AD99,""))),"")</f>
        <v/>
      </c>
      <c r="AE106" s="120" t="str">
        <f t="shared" ref="AE106:AE107" si="124">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6"/>
      <c r="AG106" s="121"/>
      <c r="AH106" s="122"/>
      <c r="AI106" s="123"/>
      <c r="AJ106" s="123"/>
      <c r="AK106" s="121"/>
      <c r="AL106" s="122"/>
    </row>
    <row r="107" spans="1:38" x14ac:dyDescent="0.3">
      <c r="A107" s="222"/>
      <c r="B107" s="139"/>
      <c r="C107" s="139"/>
      <c r="D107" s="223"/>
      <c r="E107" s="213"/>
      <c r="F107" s="141"/>
      <c r="G107" s="223"/>
      <c r="H107" s="140"/>
      <c r="I107" s="224"/>
      <c r="J107" s="220"/>
      <c r="K107" s="219"/>
      <c r="L107" s="218"/>
      <c r="M107" s="219">
        <f t="shared" ca="1" si="119"/>
        <v>0</v>
      </c>
      <c r="N107" s="220"/>
      <c r="O107" s="219"/>
      <c r="P107" s="221"/>
      <c r="Q107" s="113">
        <v>3</v>
      </c>
      <c r="R107" s="126"/>
      <c r="S107" s="115" t="str">
        <f>IF(OR(T107="Preventivo",T107="Detectivo"),"Probabilidad",IF(T107="Correctivo","Impacto",""))</f>
        <v/>
      </c>
      <c r="T107" s="116"/>
      <c r="U107" s="116"/>
      <c r="V107" s="117" t="str">
        <f t="shared" si="120"/>
        <v/>
      </c>
      <c r="W107" s="116"/>
      <c r="X107" s="116"/>
      <c r="Y107" s="116"/>
      <c r="Z107" s="118" t="str">
        <f>IFERROR(IF(AND(S106="Probabilidad",S107="Probabilidad"),(AB106-(+AB106*V107)),IF(AND(S106="Impacto",S107="Probabilidad"),(AB105-(+AB105*V107)),IF(S107="Impacto",AB106,""))),"")</f>
        <v/>
      </c>
      <c r="AA107" s="119" t="str">
        <f t="shared" si="121"/>
        <v/>
      </c>
      <c r="AB107" s="117" t="str">
        <f t="shared" si="122"/>
        <v/>
      </c>
      <c r="AC107" s="119" t="str">
        <f t="shared" si="123"/>
        <v/>
      </c>
      <c r="AD107" s="117" t="str">
        <f>IFERROR(IF(AND(S106="Impacto",S107="Impacto"),(AD106-(+AD106*V107)),IF(AND(S106="Probabilidad",S107="Impacto"),(AD105-(+AD105*V107)),IF(S107="Probabilidad",AD106,""))),"")</f>
        <v/>
      </c>
      <c r="AE107" s="120" t="str">
        <f t="shared" si="124"/>
        <v/>
      </c>
      <c r="AF107" s="116"/>
      <c r="AG107" s="121"/>
      <c r="AH107" s="122"/>
      <c r="AI107" s="123"/>
      <c r="AJ107" s="123"/>
      <c r="AK107" s="121"/>
      <c r="AL107" s="122"/>
    </row>
    <row r="108" spans="1:38" x14ac:dyDescent="0.3">
      <c r="A108" s="222"/>
      <c r="B108" s="139"/>
      <c r="C108" s="139"/>
      <c r="D108" s="223"/>
      <c r="E108" s="213"/>
      <c r="F108" s="141"/>
      <c r="G108" s="223"/>
      <c r="H108" s="140"/>
      <c r="I108" s="224"/>
      <c r="J108" s="220"/>
      <c r="K108" s="219"/>
      <c r="L108" s="218"/>
      <c r="M108" s="219">
        <f t="shared" ca="1" si="119"/>
        <v>0</v>
      </c>
      <c r="N108" s="220"/>
      <c r="O108" s="219"/>
      <c r="P108" s="221"/>
      <c r="Q108" s="113">
        <v>4</v>
      </c>
      <c r="R108" s="114"/>
      <c r="S108" s="115" t="str">
        <f t="shared" ref="S108:S110" si="125">IF(OR(T108="Preventivo",T108="Detectivo"),"Probabilidad",IF(T108="Correctivo","Impacto",""))</f>
        <v/>
      </c>
      <c r="T108" s="116"/>
      <c r="U108" s="116"/>
      <c r="V108" s="117" t="str">
        <f t="shared" si="120"/>
        <v/>
      </c>
      <c r="W108" s="116"/>
      <c r="X108" s="116"/>
      <c r="Y108" s="116"/>
      <c r="Z108" s="118" t="str">
        <f t="shared" ref="Z108:Z110" si="126">IFERROR(IF(AND(S107="Probabilidad",S108="Probabilidad"),(AB107-(+AB107*V108)),IF(AND(S107="Impacto",S108="Probabilidad"),(AB106-(+AB106*V108)),IF(S108="Impacto",AB107,""))),"")</f>
        <v/>
      </c>
      <c r="AA108" s="119" t="str">
        <f t="shared" si="121"/>
        <v/>
      </c>
      <c r="AB108" s="117" t="str">
        <f t="shared" si="122"/>
        <v/>
      </c>
      <c r="AC108" s="119" t="str">
        <f t="shared" si="123"/>
        <v/>
      </c>
      <c r="AD108" s="117" t="str">
        <f t="shared" ref="AD108:AD110" si="127">IFERROR(IF(AND(S107="Impacto",S108="Impacto"),(AD107-(+AD107*V108)),IF(AND(S107="Probabilidad",S108="Impacto"),(AD106-(+AD106*V108)),IF(S108="Probabilidad",AD107,""))),"")</f>
        <v/>
      </c>
      <c r="AE108" s="120" t="str">
        <f>IFERROR(IF(OR(AND(AA108="Muy Baja",AC108="Leve"),AND(AA108="Muy Baja",AC108="Menor"),AND(AA108="Baja",AC108="Leve")),"Bajo",IF(OR(AND(AA108="Muy baja",AC108="Moderado"),AND(AA108="Baja",AC108="Menor"),AND(AA108="Baja",AC108="Moderado"),AND(AA108="Media",AC108="Leve"),AND(AA108="Media",AC108="Menor"),AND(AA108="Media",AC108="Moderado"),AND(AA108="Alta",AC108="Leve"),AND(AA108="Alta",AC108="Menor")),"Moderado",IF(OR(AND(AA108="Muy Baja",AC108="Mayor"),AND(AA108="Baja",AC108="Mayor"),AND(AA108="Media",AC108="Mayor"),AND(AA108="Alta",AC108="Moderado"),AND(AA108="Alta",AC108="Mayor"),AND(AA108="Muy Alta",AC108="Leve"),AND(AA108="Muy Alta",AC108="Menor"),AND(AA108="Muy Alta",AC108="Moderado"),AND(AA108="Muy Alta",AC108="Mayor")),"Alto",IF(OR(AND(AA108="Muy Baja",AC108="Catastrófico"),AND(AA108="Baja",AC108="Catastrófico"),AND(AA108="Media",AC108="Catastrófico"),AND(AA108="Alta",AC108="Catastrófico"),AND(AA108="Muy Alta",AC108="Catastrófico")),"Extremo","")))),"")</f>
        <v/>
      </c>
      <c r="AF108" s="116"/>
      <c r="AG108" s="121"/>
      <c r="AH108" s="122"/>
      <c r="AI108" s="123"/>
      <c r="AJ108" s="123"/>
      <c r="AK108" s="121"/>
      <c r="AL108" s="122"/>
    </row>
    <row r="109" spans="1:38" x14ac:dyDescent="0.3">
      <c r="A109" s="222"/>
      <c r="B109" s="139"/>
      <c r="C109" s="139"/>
      <c r="D109" s="223"/>
      <c r="E109" s="213"/>
      <c r="F109" s="141"/>
      <c r="G109" s="223"/>
      <c r="H109" s="140"/>
      <c r="I109" s="224"/>
      <c r="J109" s="220"/>
      <c r="K109" s="219"/>
      <c r="L109" s="218"/>
      <c r="M109" s="219">
        <f t="shared" ca="1" si="119"/>
        <v>0</v>
      </c>
      <c r="N109" s="220"/>
      <c r="O109" s="219"/>
      <c r="P109" s="221"/>
      <c r="Q109" s="113">
        <v>5</v>
      </c>
      <c r="R109" s="114"/>
      <c r="S109" s="115" t="str">
        <f t="shared" si="125"/>
        <v/>
      </c>
      <c r="T109" s="116"/>
      <c r="U109" s="116"/>
      <c r="V109" s="117" t="str">
        <f t="shared" si="120"/>
        <v/>
      </c>
      <c r="W109" s="116"/>
      <c r="X109" s="116"/>
      <c r="Y109" s="116"/>
      <c r="Z109" s="118" t="str">
        <f t="shared" si="126"/>
        <v/>
      </c>
      <c r="AA109" s="119" t="str">
        <f t="shared" si="121"/>
        <v/>
      </c>
      <c r="AB109" s="117" t="str">
        <f t="shared" si="122"/>
        <v/>
      </c>
      <c r="AC109" s="119" t="str">
        <f t="shared" si="123"/>
        <v/>
      </c>
      <c r="AD109" s="117" t="str">
        <f t="shared" si="127"/>
        <v/>
      </c>
      <c r="AE109" s="120" t="str">
        <f t="shared" ref="AE109" si="128">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6"/>
      <c r="AG109" s="121"/>
      <c r="AH109" s="122"/>
      <c r="AI109" s="123"/>
      <c r="AJ109" s="123"/>
      <c r="AK109" s="121"/>
      <c r="AL109" s="122"/>
    </row>
    <row r="110" spans="1:38" x14ac:dyDescent="0.3">
      <c r="A110" s="222"/>
      <c r="B110" s="139"/>
      <c r="C110" s="139"/>
      <c r="D110" s="223"/>
      <c r="E110" s="213"/>
      <c r="F110" s="141"/>
      <c r="G110" s="223"/>
      <c r="H110" s="140"/>
      <c r="I110" s="224"/>
      <c r="J110" s="220"/>
      <c r="K110" s="219"/>
      <c r="L110" s="218"/>
      <c r="M110" s="219">
        <f t="shared" ca="1" si="119"/>
        <v>0</v>
      </c>
      <c r="N110" s="220"/>
      <c r="O110" s="219"/>
      <c r="P110" s="221"/>
      <c r="Q110" s="113">
        <v>6</v>
      </c>
      <c r="R110" s="114"/>
      <c r="S110" s="115" t="str">
        <f t="shared" si="125"/>
        <v/>
      </c>
      <c r="T110" s="116"/>
      <c r="U110" s="116"/>
      <c r="V110" s="117" t="str">
        <f t="shared" si="120"/>
        <v/>
      </c>
      <c r="W110" s="116"/>
      <c r="X110" s="116"/>
      <c r="Y110" s="116"/>
      <c r="Z110" s="118" t="str">
        <f t="shared" si="126"/>
        <v/>
      </c>
      <c r="AA110" s="119" t="str">
        <f t="shared" si="121"/>
        <v/>
      </c>
      <c r="AB110" s="117" t="str">
        <f t="shared" si="122"/>
        <v/>
      </c>
      <c r="AC110" s="119" t="str">
        <f>IFERROR(IF(AD110="","",IF(AD110&lt;=0.2,"Leve",IF(AD110&lt;=0.4,"Menor",IF(AD110&lt;=0.6,"Moderado",IF(AD110&lt;=0.8,"Mayor","Catastrófico"))))),"")</f>
        <v/>
      </c>
      <c r="AD110" s="117" t="str">
        <f t="shared" si="127"/>
        <v/>
      </c>
      <c r="AE110" s="120" t="str">
        <f>IFERROR(IF(OR(AND(AA110="Muy Baja",AC110="Leve"),AND(AA110="Muy Baja",AC110="Menor"),AND(AA110="Baja",AC110="Leve")),"Bajo",IF(OR(AND(AA110="Muy baja",AC110="Moderado"),AND(AA110="Baja",AC110="Menor"),AND(AA110="Baja",AC110="Moderado"),AND(AA110="Media",AC110="Leve"),AND(AA110="Media",AC110="Menor"),AND(AA110="Media",AC110="Moderado"),AND(AA110="Alta",AC110="Leve"),AND(AA110="Alta",AC110="Menor")),"Moderado",IF(OR(AND(AA110="Muy Baja",AC110="Mayor"),AND(AA110="Baja",AC110="Mayor"),AND(AA110="Media",AC110="Mayor"),AND(AA110="Alta",AC110="Moderado"),AND(AA110="Alta",AC110="Mayor"),AND(AA110="Muy Alta",AC110="Leve"),AND(AA110="Muy Alta",AC110="Menor"),AND(AA110="Muy Alta",AC110="Moderado"),AND(AA110="Muy Alta",AC110="Mayor")),"Alto",IF(OR(AND(AA110="Muy Baja",AC110="Catastrófico"),AND(AA110="Baja",AC110="Catastrófico"),AND(AA110="Media",AC110="Catastrófico"),AND(AA110="Alta",AC110="Catastrófico"),AND(AA110="Muy Alta",AC110="Catastrófico")),"Extremo","")))),"")</f>
        <v/>
      </c>
      <c r="AF110" s="116"/>
      <c r="AG110" s="121"/>
      <c r="AH110" s="122"/>
      <c r="AI110" s="123"/>
      <c r="AJ110" s="123"/>
      <c r="AK110" s="121"/>
      <c r="AL110" s="122"/>
    </row>
    <row r="111" spans="1:38" x14ac:dyDescent="0.3">
      <c r="A111" s="222">
        <v>7</v>
      </c>
      <c r="B111" s="139"/>
      <c r="C111" s="139"/>
      <c r="D111" s="223"/>
      <c r="E111" s="213"/>
      <c r="F111" s="141"/>
      <c r="G111" s="223"/>
      <c r="H111" s="140"/>
      <c r="I111" s="224"/>
      <c r="J111" s="220" t="str">
        <f>IF(I111&lt;=0,"",IF(I111&lt;=2,"Muy Baja",IF(I111&lt;=24,"Baja",IF(I111&lt;=500,"Media",IF(I111&lt;=5000,"Alta","Muy Alta")))))</f>
        <v/>
      </c>
      <c r="K111" s="219" t="str">
        <f>IF(J111="","",IF(J111="Muy Baja",0.2,IF(J111="Baja",0.4,IF(J111="Media",0.6,IF(J111="Alta",0.8,IF(J111="Muy Alta",1,))))))</f>
        <v/>
      </c>
      <c r="L111" s="218"/>
      <c r="M111" s="219">
        <f>IF(NOT(ISERROR(MATCH(L111,'Tabla Impacto'!$B$221:$B$223,0))),'Tabla Impacto'!$F$223&amp;"Por favor no seleccionar los criterios de impacto(Afectación Económica o presupuestal y Pérdida Reputacional)",L111)</f>
        <v>0</v>
      </c>
      <c r="N111" s="220" t="str">
        <f>IF(OR(M111='Tabla Impacto'!$C$11,M111='Tabla Impacto'!$D$11),"Leve",IF(OR(M111='Tabla Impacto'!$C$12,M111='Tabla Impacto'!$D$12),"Menor",IF(OR(M111='Tabla Impacto'!$C$13,M111='Tabla Impacto'!$D$13),"Moderado",IF(OR(M111='Tabla Impacto'!$C$14,M111='Tabla Impacto'!$D$14),"Mayor",IF(OR(M111='Tabla Impacto'!$C$15,M111='Tabla Impacto'!$D$15),"Catastrófico","")))))</f>
        <v/>
      </c>
      <c r="O111" s="219" t="str">
        <f>IF(N111="","",IF(N111="Leve",0.2,IF(N111="Menor",0.4,IF(N111="Moderado",0.6,IF(N111="Mayor",0.8,IF(N111="Catastrófico",1,))))))</f>
        <v/>
      </c>
      <c r="P111" s="221" t="str">
        <f>IF(OR(AND(J111="Muy Baja",N111="Leve"),AND(J111="Muy Baja",N111="Menor"),AND(J111="Baja",N111="Leve")),"Bajo",IF(OR(AND(J111="Muy baja",N111="Moderado"),AND(J111="Baja",N111="Menor"),AND(J111="Baja",N111="Moderado"),AND(J111="Media",N111="Leve"),AND(J111="Media",N111="Menor"),AND(J111="Media",N111="Moderado"),AND(J111="Alta",N111="Leve"),AND(J111="Alta",N111="Menor")),"Moderado",IF(OR(AND(J111="Muy Baja",N111="Mayor"),AND(J111="Baja",N111="Mayor"),AND(J111="Media",N111="Mayor"),AND(J111="Alta",N111="Moderado"),AND(J111="Alta",N111="Mayor"),AND(J111="Muy Alta",N111="Leve"),AND(J111="Muy Alta",N111="Menor"),AND(J111="Muy Alta",N111="Moderado"),AND(J111="Muy Alta",N111="Mayor")),"Alto",IF(OR(AND(J111="Muy Baja",N111="Catastrófico"),AND(J111="Baja",N111="Catastrófico"),AND(J111="Media",N111="Catastrófico"),AND(J111="Alta",N111="Catastrófico"),AND(J111="Muy Alta",N111="Catastrófico")),"Extremo",""))))</f>
        <v/>
      </c>
      <c r="Q111" s="113">
        <v>1</v>
      </c>
      <c r="R111" s="114"/>
      <c r="S111" s="115" t="str">
        <f>IF(OR(T111="Preventivo",T111="Detectivo"),"Probabilidad",IF(T111="Correctivo","Impacto",""))</f>
        <v/>
      </c>
      <c r="T111" s="116"/>
      <c r="U111" s="116"/>
      <c r="V111" s="117" t="str">
        <f>IF(AND(T111="Preventivo",U111="Automático"),"50%",IF(AND(T111="Preventivo",U111="Manual"),"40%",IF(AND(T111="Detectivo",U111="Automático"),"40%",IF(AND(T111="Detectivo",U111="Manual"),"30%",IF(AND(T111="Correctivo",U111="Automático"),"35%",IF(AND(T111="Correctivo",U111="Manual"),"25%",""))))))</f>
        <v/>
      </c>
      <c r="W111" s="116"/>
      <c r="X111" s="116"/>
      <c r="Y111" s="116"/>
      <c r="Z111" s="118" t="str">
        <f>IFERROR(IF(S111="Probabilidad",(K111-(+K111*V111)),IF(S111="Impacto",K111,"")),"")</f>
        <v/>
      </c>
      <c r="AA111" s="119" t="str">
        <f>IFERROR(IF(Z111="","",IF(Z111&lt;=0.2,"Muy Baja",IF(Z111&lt;=0.4,"Baja",IF(Z111&lt;=0.6,"Media",IF(Z111&lt;=0.8,"Alta","Muy Alta"))))),"")</f>
        <v/>
      </c>
      <c r="AB111" s="117" t="str">
        <f>+Z111</f>
        <v/>
      </c>
      <c r="AC111" s="119" t="str">
        <f>IFERROR(IF(AD111="","",IF(AD111&lt;=0.2,"Leve",IF(AD111&lt;=0.4,"Menor",IF(AD111&lt;=0.6,"Moderado",IF(AD111&lt;=0.8,"Mayor","Catastrófico"))))),"")</f>
        <v/>
      </c>
      <c r="AD111" s="117" t="str">
        <f>IFERROR(IF(S111="Impacto",(O111-(+O111*V111)),IF(S111="Probabilidad",O111,"")),"")</f>
        <v/>
      </c>
      <c r="AE111" s="120" t="str">
        <f>IFERROR(IF(OR(AND(AA111="Muy Baja",AC111="Leve"),AND(AA111="Muy Baja",AC111="Menor"),AND(AA111="Baja",AC111="Leve")),"Bajo",IF(OR(AND(AA111="Muy baja",AC111="Moderado"),AND(AA111="Baja",AC111="Menor"),AND(AA111="Baja",AC111="Moderado"),AND(AA111="Media",AC111="Leve"),AND(AA111="Media",AC111="Menor"),AND(AA111="Media",AC111="Moderado"),AND(AA111="Alta",AC111="Leve"),AND(AA111="Alta",AC111="Menor")),"Moderado",IF(OR(AND(AA111="Muy Baja",AC111="Mayor"),AND(AA111="Baja",AC111="Mayor"),AND(AA111="Media",AC111="Mayor"),AND(AA111="Alta",AC111="Moderado"),AND(AA111="Alta",AC111="Mayor"),AND(AA111="Muy Alta",AC111="Leve"),AND(AA111="Muy Alta",AC111="Menor"),AND(AA111="Muy Alta",AC111="Moderado"),AND(AA111="Muy Alta",AC111="Mayor")),"Alto",IF(OR(AND(AA111="Muy Baja",AC111="Catastrófico"),AND(AA111="Baja",AC111="Catastrófico"),AND(AA111="Media",AC111="Catastrófico"),AND(AA111="Alta",AC111="Catastrófico"),AND(AA111="Muy Alta",AC111="Catastrófico")),"Extremo","")))),"")</f>
        <v/>
      </c>
      <c r="AF111" s="116"/>
      <c r="AG111" s="121"/>
      <c r="AH111" s="122"/>
      <c r="AI111" s="123"/>
      <c r="AJ111" s="123"/>
      <c r="AK111" s="121"/>
      <c r="AL111" s="122"/>
    </row>
    <row r="112" spans="1:38" x14ac:dyDescent="0.3">
      <c r="A112" s="222"/>
      <c r="B112" s="139"/>
      <c r="C112" s="139"/>
      <c r="D112" s="223"/>
      <c r="E112" s="213"/>
      <c r="F112" s="141"/>
      <c r="G112" s="223"/>
      <c r="H112" s="140"/>
      <c r="I112" s="224"/>
      <c r="J112" s="220"/>
      <c r="K112" s="219"/>
      <c r="L112" s="218"/>
      <c r="M112" s="219">
        <f t="shared" ref="M112:M116" ca="1" si="129">IF(NOT(ISERROR(MATCH(L112,_xlfn.ANCHORARRAY(E123),0))),K125&amp;"Por favor no seleccionar los criterios de impacto",L112)</f>
        <v>0</v>
      </c>
      <c r="N112" s="220"/>
      <c r="O112" s="219"/>
      <c r="P112" s="221"/>
      <c r="Q112" s="113">
        <v>2</v>
      </c>
      <c r="R112" s="114"/>
      <c r="S112" s="115" t="str">
        <f>IF(OR(T112="Preventivo",T112="Detectivo"),"Probabilidad",IF(T112="Correctivo","Impacto",""))</f>
        <v/>
      </c>
      <c r="T112" s="116"/>
      <c r="U112" s="116"/>
      <c r="V112" s="117" t="str">
        <f t="shared" ref="V112:V116" si="130">IF(AND(T112="Preventivo",U112="Automático"),"50%",IF(AND(T112="Preventivo",U112="Manual"),"40%",IF(AND(T112="Detectivo",U112="Automático"),"40%",IF(AND(T112="Detectivo",U112="Manual"),"30%",IF(AND(T112="Correctivo",U112="Automático"),"35%",IF(AND(T112="Correctivo",U112="Manual"),"25%",""))))))</f>
        <v/>
      </c>
      <c r="W112" s="116"/>
      <c r="X112" s="116"/>
      <c r="Y112" s="116"/>
      <c r="Z112" s="118" t="str">
        <f>IFERROR(IF(AND(S111="Probabilidad",S112="Probabilidad"),(AB111-(+AB111*V112)),IF(S112="Probabilidad",(K111-(+K111*V112)),IF(S112="Impacto",AB111,""))),"")</f>
        <v/>
      </c>
      <c r="AA112" s="119" t="str">
        <f t="shared" ref="AA112:AA116" si="131">IFERROR(IF(Z112="","",IF(Z112&lt;=0.2,"Muy Baja",IF(Z112&lt;=0.4,"Baja",IF(Z112&lt;=0.6,"Media",IF(Z112&lt;=0.8,"Alta","Muy Alta"))))),"")</f>
        <v/>
      </c>
      <c r="AB112" s="117" t="str">
        <f t="shared" ref="AB112:AB116" si="132">+Z112</f>
        <v/>
      </c>
      <c r="AC112" s="119" t="str">
        <f t="shared" ref="AC112:AC116" si="133">IFERROR(IF(AD112="","",IF(AD112&lt;=0.2,"Leve",IF(AD112&lt;=0.4,"Menor",IF(AD112&lt;=0.6,"Moderado",IF(AD112&lt;=0.8,"Mayor","Catastrófico"))))),"")</f>
        <v/>
      </c>
      <c r="AD112" s="117" t="str">
        <f>IFERROR(IF(AND(S111="Impacto",S112="Impacto"),(AD105-(+AD105*V112)),IF(S112="Impacto",($O$51-(+$O$51*V112)),IF(S112="Probabilidad",AD105,""))),"")</f>
        <v/>
      </c>
      <c r="AE112" s="120" t="str">
        <f t="shared" ref="AE112:AE113" si="134">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6"/>
      <c r="AG112" s="121"/>
      <c r="AH112" s="122"/>
      <c r="AI112" s="123"/>
      <c r="AJ112" s="123"/>
      <c r="AK112" s="121"/>
      <c r="AL112" s="122"/>
    </row>
    <row r="113" spans="1:38" x14ac:dyDescent="0.3">
      <c r="A113" s="222"/>
      <c r="B113" s="139"/>
      <c r="C113" s="139"/>
      <c r="D113" s="223"/>
      <c r="E113" s="213"/>
      <c r="F113" s="141"/>
      <c r="G113" s="223"/>
      <c r="H113" s="140"/>
      <c r="I113" s="224"/>
      <c r="J113" s="220"/>
      <c r="K113" s="219"/>
      <c r="L113" s="218"/>
      <c r="M113" s="219">
        <f t="shared" ca="1" si="129"/>
        <v>0</v>
      </c>
      <c r="N113" s="220"/>
      <c r="O113" s="219"/>
      <c r="P113" s="221"/>
      <c r="Q113" s="113">
        <v>3</v>
      </c>
      <c r="R113" s="126"/>
      <c r="S113" s="115" t="str">
        <f>IF(OR(T113="Preventivo",T113="Detectivo"),"Probabilidad",IF(T113="Correctivo","Impacto",""))</f>
        <v/>
      </c>
      <c r="T113" s="116"/>
      <c r="U113" s="116"/>
      <c r="V113" s="117" t="str">
        <f t="shared" si="130"/>
        <v/>
      </c>
      <c r="W113" s="116"/>
      <c r="X113" s="116"/>
      <c r="Y113" s="116"/>
      <c r="Z113" s="118" t="str">
        <f>IFERROR(IF(AND(S112="Probabilidad",S113="Probabilidad"),(AB112-(+AB112*V113)),IF(AND(S112="Impacto",S113="Probabilidad"),(AB111-(+AB111*V113)),IF(S113="Impacto",AB112,""))),"")</f>
        <v/>
      </c>
      <c r="AA113" s="119" t="str">
        <f t="shared" si="131"/>
        <v/>
      </c>
      <c r="AB113" s="117" t="str">
        <f t="shared" si="132"/>
        <v/>
      </c>
      <c r="AC113" s="119" t="str">
        <f t="shared" si="133"/>
        <v/>
      </c>
      <c r="AD113" s="117" t="str">
        <f>IFERROR(IF(AND(S112="Impacto",S113="Impacto"),(AD112-(+AD112*V113)),IF(AND(S112="Probabilidad",S113="Impacto"),(AD111-(+AD111*V113)),IF(S113="Probabilidad",AD112,""))),"")</f>
        <v/>
      </c>
      <c r="AE113" s="120" t="str">
        <f t="shared" si="134"/>
        <v/>
      </c>
      <c r="AF113" s="116"/>
      <c r="AG113" s="121"/>
      <c r="AH113" s="122"/>
      <c r="AI113" s="123"/>
      <c r="AJ113" s="123"/>
      <c r="AK113" s="121"/>
      <c r="AL113" s="122"/>
    </row>
    <row r="114" spans="1:38" x14ac:dyDescent="0.3">
      <c r="A114" s="222"/>
      <c r="B114" s="139"/>
      <c r="C114" s="139"/>
      <c r="D114" s="223"/>
      <c r="E114" s="213"/>
      <c r="F114" s="141"/>
      <c r="G114" s="223"/>
      <c r="H114" s="140"/>
      <c r="I114" s="224"/>
      <c r="J114" s="220"/>
      <c r="K114" s="219"/>
      <c r="L114" s="218"/>
      <c r="M114" s="219">
        <f t="shared" ca="1" si="129"/>
        <v>0</v>
      </c>
      <c r="N114" s="220"/>
      <c r="O114" s="219"/>
      <c r="P114" s="221"/>
      <c r="Q114" s="113">
        <v>4</v>
      </c>
      <c r="R114" s="114"/>
      <c r="S114" s="115" t="str">
        <f t="shared" ref="S114:S116" si="135">IF(OR(T114="Preventivo",T114="Detectivo"),"Probabilidad",IF(T114="Correctivo","Impacto",""))</f>
        <v/>
      </c>
      <c r="T114" s="116"/>
      <c r="U114" s="116"/>
      <c r="V114" s="117" t="str">
        <f t="shared" si="130"/>
        <v/>
      </c>
      <c r="W114" s="116"/>
      <c r="X114" s="116"/>
      <c r="Y114" s="116"/>
      <c r="Z114" s="118" t="str">
        <f t="shared" ref="Z114:Z116" si="136">IFERROR(IF(AND(S113="Probabilidad",S114="Probabilidad"),(AB113-(+AB113*V114)),IF(AND(S113="Impacto",S114="Probabilidad"),(AB112-(+AB112*V114)),IF(S114="Impacto",AB113,""))),"")</f>
        <v/>
      </c>
      <c r="AA114" s="119" t="str">
        <f t="shared" si="131"/>
        <v/>
      </c>
      <c r="AB114" s="117" t="str">
        <f t="shared" si="132"/>
        <v/>
      </c>
      <c r="AC114" s="119" t="str">
        <f t="shared" si="133"/>
        <v/>
      </c>
      <c r="AD114" s="117" t="str">
        <f t="shared" ref="AD114:AD116" si="137">IFERROR(IF(AND(S113="Impacto",S114="Impacto"),(AD113-(+AD113*V114)),IF(AND(S113="Probabilidad",S114="Impacto"),(AD112-(+AD112*V114)),IF(S114="Probabilidad",AD113,""))),"")</f>
        <v/>
      </c>
      <c r="AE114" s="120" t="str">
        <f>IFERROR(IF(OR(AND(AA114="Muy Baja",AC114="Leve"),AND(AA114="Muy Baja",AC114="Menor"),AND(AA114="Baja",AC114="Leve")),"Bajo",IF(OR(AND(AA114="Muy baja",AC114="Moderado"),AND(AA114="Baja",AC114="Menor"),AND(AA114="Baja",AC114="Moderado"),AND(AA114="Media",AC114="Leve"),AND(AA114="Media",AC114="Menor"),AND(AA114="Media",AC114="Moderado"),AND(AA114="Alta",AC114="Leve"),AND(AA114="Alta",AC114="Menor")),"Moderado",IF(OR(AND(AA114="Muy Baja",AC114="Mayor"),AND(AA114="Baja",AC114="Mayor"),AND(AA114="Media",AC114="Mayor"),AND(AA114="Alta",AC114="Moderado"),AND(AA114="Alta",AC114="Mayor"),AND(AA114="Muy Alta",AC114="Leve"),AND(AA114="Muy Alta",AC114="Menor"),AND(AA114="Muy Alta",AC114="Moderado"),AND(AA114="Muy Alta",AC114="Mayor")),"Alto",IF(OR(AND(AA114="Muy Baja",AC114="Catastrófico"),AND(AA114="Baja",AC114="Catastrófico"),AND(AA114="Media",AC114="Catastrófico"),AND(AA114="Alta",AC114="Catastrófico"),AND(AA114="Muy Alta",AC114="Catastrófico")),"Extremo","")))),"")</f>
        <v/>
      </c>
      <c r="AF114" s="116"/>
      <c r="AG114" s="121"/>
      <c r="AH114" s="122"/>
      <c r="AI114" s="123"/>
      <c r="AJ114" s="123"/>
      <c r="AK114" s="121"/>
      <c r="AL114" s="122"/>
    </row>
    <row r="115" spans="1:38" x14ac:dyDescent="0.3">
      <c r="A115" s="222"/>
      <c r="B115" s="139"/>
      <c r="C115" s="139"/>
      <c r="D115" s="223"/>
      <c r="E115" s="213"/>
      <c r="F115" s="141"/>
      <c r="G115" s="223"/>
      <c r="H115" s="140"/>
      <c r="I115" s="224"/>
      <c r="J115" s="220"/>
      <c r="K115" s="219"/>
      <c r="L115" s="218"/>
      <c r="M115" s="219">
        <f t="shared" ca="1" si="129"/>
        <v>0</v>
      </c>
      <c r="N115" s="220"/>
      <c r="O115" s="219"/>
      <c r="P115" s="221"/>
      <c r="Q115" s="113">
        <v>5</v>
      </c>
      <c r="R115" s="114"/>
      <c r="S115" s="115" t="str">
        <f t="shared" si="135"/>
        <v/>
      </c>
      <c r="T115" s="116"/>
      <c r="U115" s="116"/>
      <c r="V115" s="117" t="str">
        <f t="shared" si="130"/>
        <v/>
      </c>
      <c r="W115" s="116"/>
      <c r="X115" s="116"/>
      <c r="Y115" s="116"/>
      <c r="Z115" s="118" t="str">
        <f t="shared" si="136"/>
        <v/>
      </c>
      <c r="AA115" s="119" t="str">
        <f t="shared" si="131"/>
        <v/>
      </c>
      <c r="AB115" s="117" t="str">
        <f t="shared" si="132"/>
        <v/>
      </c>
      <c r="AC115" s="119" t="str">
        <f t="shared" si="133"/>
        <v/>
      </c>
      <c r="AD115" s="117" t="str">
        <f t="shared" si="137"/>
        <v/>
      </c>
      <c r="AE115" s="120" t="str">
        <f t="shared" ref="AE115:AE116" si="138">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6"/>
      <c r="AG115" s="121"/>
      <c r="AH115" s="122"/>
      <c r="AI115" s="123"/>
      <c r="AJ115" s="123"/>
      <c r="AK115" s="121"/>
      <c r="AL115" s="122"/>
    </row>
    <row r="116" spans="1:38" x14ac:dyDescent="0.3">
      <c r="A116" s="222"/>
      <c r="B116" s="139"/>
      <c r="C116" s="139"/>
      <c r="D116" s="223"/>
      <c r="E116" s="213"/>
      <c r="F116" s="141"/>
      <c r="G116" s="223"/>
      <c r="H116" s="140"/>
      <c r="I116" s="224"/>
      <c r="J116" s="220"/>
      <c r="K116" s="219"/>
      <c r="L116" s="218"/>
      <c r="M116" s="219">
        <f t="shared" ca="1" si="129"/>
        <v>0</v>
      </c>
      <c r="N116" s="220"/>
      <c r="O116" s="219"/>
      <c r="P116" s="221"/>
      <c r="Q116" s="113">
        <v>6</v>
      </c>
      <c r="R116" s="114"/>
      <c r="S116" s="115" t="str">
        <f t="shared" si="135"/>
        <v/>
      </c>
      <c r="T116" s="116"/>
      <c r="U116" s="116"/>
      <c r="V116" s="117" t="str">
        <f t="shared" si="130"/>
        <v/>
      </c>
      <c r="W116" s="116"/>
      <c r="X116" s="116"/>
      <c r="Y116" s="116"/>
      <c r="Z116" s="118" t="str">
        <f t="shared" si="136"/>
        <v/>
      </c>
      <c r="AA116" s="119" t="str">
        <f t="shared" si="131"/>
        <v/>
      </c>
      <c r="AB116" s="117" t="str">
        <f t="shared" si="132"/>
        <v/>
      </c>
      <c r="AC116" s="119" t="str">
        <f t="shared" si="133"/>
        <v/>
      </c>
      <c r="AD116" s="117" t="str">
        <f t="shared" si="137"/>
        <v/>
      </c>
      <c r="AE116" s="120" t="str">
        <f t="shared" si="138"/>
        <v/>
      </c>
      <c r="AF116" s="116"/>
      <c r="AG116" s="121"/>
      <c r="AH116" s="122"/>
      <c r="AI116" s="123"/>
      <c r="AJ116" s="123"/>
      <c r="AK116" s="121"/>
      <c r="AL116" s="122"/>
    </row>
    <row r="117" spans="1:38" x14ac:dyDescent="0.3">
      <c r="A117" s="222">
        <v>8</v>
      </c>
      <c r="B117" s="139"/>
      <c r="C117" s="139"/>
      <c r="D117" s="223"/>
      <c r="E117" s="213"/>
      <c r="F117" s="141"/>
      <c r="G117" s="223"/>
      <c r="H117" s="140"/>
      <c r="I117" s="224"/>
      <c r="J117" s="220" t="str">
        <f>IF(I117&lt;=0,"",IF(I117&lt;=2,"Muy Baja",IF(I117&lt;=24,"Baja",IF(I117&lt;=500,"Media",IF(I117&lt;=5000,"Alta","Muy Alta")))))</f>
        <v/>
      </c>
      <c r="K117" s="219" t="str">
        <f>IF(J117="","",IF(J117="Muy Baja",0.2,IF(J117="Baja",0.4,IF(J117="Media",0.6,IF(J117="Alta",0.8,IF(J117="Muy Alta",1,))))))</f>
        <v/>
      </c>
      <c r="L117" s="218"/>
      <c r="M117" s="219">
        <f>IF(NOT(ISERROR(MATCH(L117,'Tabla Impacto'!$B$221:$B$223,0))),'Tabla Impacto'!$F$223&amp;"Por favor no seleccionar los criterios de impacto(Afectación Económica o presupuestal y Pérdida Reputacional)",L117)</f>
        <v>0</v>
      </c>
      <c r="N117" s="220" t="str">
        <f>IF(OR(M117='Tabla Impacto'!$C$11,M117='Tabla Impacto'!$D$11),"Leve",IF(OR(M117='Tabla Impacto'!$C$12,M117='Tabla Impacto'!$D$12),"Menor",IF(OR(M117='Tabla Impacto'!$C$13,M117='Tabla Impacto'!$D$13),"Moderado",IF(OR(M117='Tabla Impacto'!$C$14,M117='Tabla Impacto'!$D$14),"Mayor",IF(OR(M117='Tabla Impacto'!$C$15,M117='Tabla Impacto'!$D$15),"Catastrófico","")))))</f>
        <v/>
      </c>
      <c r="O117" s="219" t="str">
        <f>IF(N117="","",IF(N117="Leve",0.2,IF(N117="Menor",0.4,IF(N117="Moderado",0.6,IF(N117="Mayor",0.8,IF(N117="Catastrófico",1,))))))</f>
        <v/>
      </c>
      <c r="P117" s="221" t="str">
        <f>IF(OR(AND(J117="Muy Baja",N117="Leve"),AND(J117="Muy Baja",N117="Menor"),AND(J117="Baja",N117="Leve")),"Bajo",IF(OR(AND(J117="Muy baja",N117="Moderado"),AND(J117="Baja",N117="Menor"),AND(J117="Baja",N117="Moderado"),AND(J117="Media",N117="Leve"),AND(J117="Media",N117="Menor"),AND(J117="Media",N117="Moderado"),AND(J117="Alta",N117="Leve"),AND(J117="Alta",N117="Menor")),"Moderado",IF(OR(AND(J117="Muy Baja",N117="Mayor"),AND(J117="Baja",N117="Mayor"),AND(J117="Media",N117="Mayor"),AND(J117="Alta",N117="Moderado"),AND(J117="Alta",N117="Mayor"),AND(J117="Muy Alta",N117="Leve"),AND(J117="Muy Alta",N117="Menor"),AND(J117="Muy Alta",N117="Moderado"),AND(J117="Muy Alta",N117="Mayor")),"Alto",IF(OR(AND(J117="Muy Baja",N117="Catastrófico"),AND(J117="Baja",N117="Catastrófico"),AND(J117="Media",N117="Catastrófico"),AND(J117="Alta",N117="Catastrófico"),AND(J117="Muy Alta",N117="Catastrófico")),"Extremo",""))))</f>
        <v/>
      </c>
      <c r="Q117" s="113">
        <v>1</v>
      </c>
      <c r="R117" s="114"/>
      <c r="S117" s="115" t="str">
        <f>IF(OR(T117="Preventivo",T117="Detectivo"),"Probabilidad",IF(T117="Correctivo","Impacto",""))</f>
        <v/>
      </c>
      <c r="T117" s="116"/>
      <c r="U117" s="116"/>
      <c r="V117" s="117" t="str">
        <f>IF(AND(T117="Preventivo",U117="Automático"),"50%",IF(AND(T117="Preventivo",U117="Manual"),"40%",IF(AND(T117="Detectivo",U117="Automático"),"40%",IF(AND(T117="Detectivo",U117="Manual"),"30%",IF(AND(T117="Correctivo",U117="Automático"),"35%",IF(AND(T117="Correctivo",U117="Manual"),"25%",""))))))</f>
        <v/>
      </c>
      <c r="W117" s="116"/>
      <c r="X117" s="116"/>
      <c r="Y117" s="116"/>
      <c r="Z117" s="118" t="str">
        <f>IFERROR(IF(S117="Probabilidad",(K117-(+K117*V117)),IF(S117="Impacto",K117,"")),"")</f>
        <v/>
      </c>
      <c r="AA117" s="119" t="str">
        <f>IFERROR(IF(Z117="","",IF(Z117&lt;=0.2,"Muy Baja",IF(Z117&lt;=0.4,"Baja",IF(Z117&lt;=0.6,"Media",IF(Z117&lt;=0.8,"Alta","Muy Alta"))))),"")</f>
        <v/>
      </c>
      <c r="AB117" s="117" t="str">
        <f>+Z117</f>
        <v/>
      </c>
      <c r="AC117" s="119" t="str">
        <f>IFERROR(IF(AD117="","",IF(AD117&lt;=0.2,"Leve",IF(AD117&lt;=0.4,"Menor",IF(AD117&lt;=0.6,"Moderado",IF(AD117&lt;=0.8,"Mayor","Catastrófico"))))),"")</f>
        <v/>
      </c>
      <c r="AD117" s="117" t="str">
        <f>IFERROR(IF(S117="Impacto",(O117-(+O117*V117)),IF(S117="Probabilidad",O117,"")),"")</f>
        <v/>
      </c>
      <c r="AE117" s="120" t="str">
        <f>IFERROR(IF(OR(AND(AA117="Muy Baja",AC117="Leve"),AND(AA117="Muy Baja",AC117="Menor"),AND(AA117="Baja",AC117="Leve")),"Bajo",IF(OR(AND(AA117="Muy baja",AC117="Moderado"),AND(AA117="Baja",AC117="Menor"),AND(AA117="Baja",AC117="Moderado"),AND(AA117="Media",AC117="Leve"),AND(AA117="Media",AC117="Menor"),AND(AA117="Media",AC117="Moderado"),AND(AA117="Alta",AC117="Leve"),AND(AA117="Alta",AC117="Menor")),"Moderado",IF(OR(AND(AA117="Muy Baja",AC117="Mayor"),AND(AA117="Baja",AC117="Mayor"),AND(AA117="Media",AC117="Mayor"),AND(AA117="Alta",AC117="Moderado"),AND(AA117="Alta",AC117="Mayor"),AND(AA117="Muy Alta",AC117="Leve"),AND(AA117="Muy Alta",AC117="Menor"),AND(AA117="Muy Alta",AC117="Moderado"),AND(AA117="Muy Alta",AC117="Mayor")),"Alto",IF(OR(AND(AA117="Muy Baja",AC117="Catastrófico"),AND(AA117="Baja",AC117="Catastrófico"),AND(AA117="Media",AC117="Catastrófico"),AND(AA117="Alta",AC117="Catastrófico"),AND(AA117="Muy Alta",AC117="Catastrófico")),"Extremo","")))),"")</f>
        <v/>
      </c>
      <c r="AF117" s="116"/>
      <c r="AG117" s="121"/>
      <c r="AH117" s="122"/>
      <c r="AI117" s="123"/>
      <c r="AJ117" s="123"/>
      <c r="AK117" s="121"/>
      <c r="AL117" s="122"/>
    </row>
    <row r="118" spans="1:38" x14ac:dyDescent="0.3">
      <c r="A118" s="222"/>
      <c r="B118" s="139"/>
      <c r="C118" s="139"/>
      <c r="D118" s="223"/>
      <c r="E118" s="213"/>
      <c r="F118" s="141"/>
      <c r="G118" s="223"/>
      <c r="H118" s="140"/>
      <c r="I118" s="224"/>
      <c r="J118" s="220"/>
      <c r="K118" s="219"/>
      <c r="L118" s="218"/>
      <c r="M118" s="219">
        <f ca="1">IF(NOT(ISERROR(MATCH(L118,_xlfn.ANCHORARRAY(E129),0))),K131&amp;"Por favor no seleccionar los criterios de impacto",L118)</f>
        <v>0</v>
      </c>
      <c r="N118" s="220"/>
      <c r="O118" s="219"/>
      <c r="P118" s="221"/>
      <c r="Q118" s="113">
        <v>2</v>
      </c>
      <c r="R118" s="114"/>
      <c r="S118" s="115" t="str">
        <f>IF(OR(T118="Preventivo",T118="Detectivo"),"Probabilidad",IF(T118="Correctivo","Impacto",""))</f>
        <v/>
      </c>
      <c r="T118" s="116"/>
      <c r="U118" s="116"/>
      <c r="V118" s="117" t="str">
        <f t="shared" ref="V118:V122" si="139">IF(AND(T118="Preventivo",U118="Automático"),"50%",IF(AND(T118="Preventivo",U118="Manual"),"40%",IF(AND(T118="Detectivo",U118="Automático"),"40%",IF(AND(T118="Detectivo",U118="Manual"),"30%",IF(AND(T118="Correctivo",U118="Automático"),"35%",IF(AND(T118="Correctivo",U118="Manual"),"25%",""))))))</f>
        <v/>
      </c>
      <c r="W118" s="116"/>
      <c r="X118" s="116"/>
      <c r="Y118" s="116"/>
      <c r="Z118" s="118" t="str">
        <f>IFERROR(IF(AND(S117="Probabilidad",S118="Probabilidad"),(AB117-(+AB117*V118)),IF(S118="Probabilidad",(K117-(+K117*V118)),IF(S118="Impacto",AB117,""))),"")</f>
        <v/>
      </c>
      <c r="AA118" s="119" t="str">
        <f t="shared" ref="AA118:AA122" si="140">IFERROR(IF(Z118="","",IF(Z118&lt;=0.2,"Muy Baja",IF(Z118&lt;=0.4,"Baja",IF(Z118&lt;=0.6,"Media",IF(Z118&lt;=0.8,"Alta","Muy Alta"))))),"")</f>
        <v/>
      </c>
      <c r="AB118" s="117" t="str">
        <f t="shared" ref="AB118:AB122" si="141">+Z118</f>
        <v/>
      </c>
      <c r="AC118" s="119" t="str">
        <f t="shared" ref="AC118:AC122" si="142">IFERROR(IF(AD118="","",IF(AD118&lt;=0.2,"Leve",IF(AD118&lt;=0.4,"Menor",IF(AD118&lt;=0.6,"Moderado",IF(AD118&lt;=0.8,"Mayor","Catastrófico"))))),"")</f>
        <v/>
      </c>
      <c r="AD118" s="117" t="str">
        <f>IFERROR(IF(AND(S117="Impacto",S118="Impacto"),(AD111-(+AD111*V118)),IF(S118="Impacto",($O$57-(+$O$57*V118)),IF(S118="Probabilidad",AD111,""))),"")</f>
        <v/>
      </c>
      <c r="AE118" s="120" t="str">
        <f t="shared" ref="AE118:AE119" si="143">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6"/>
      <c r="AG118" s="121"/>
      <c r="AH118" s="122"/>
      <c r="AI118" s="123"/>
      <c r="AJ118" s="123"/>
      <c r="AK118" s="121"/>
      <c r="AL118" s="122"/>
    </row>
    <row r="119" spans="1:38" x14ac:dyDescent="0.3">
      <c r="A119" s="222"/>
      <c r="B119" s="139"/>
      <c r="C119" s="139"/>
      <c r="D119" s="223"/>
      <c r="E119" s="213"/>
      <c r="F119" s="141"/>
      <c r="G119" s="223"/>
      <c r="H119" s="140"/>
      <c r="I119" s="224"/>
      <c r="J119" s="220"/>
      <c r="K119" s="219"/>
      <c r="L119" s="218"/>
      <c r="M119" s="219">
        <f ca="1">IF(NOT(ISERROR(MATCH(L119,_xlfn.ANCHORARRAY(E130),0))),K132&amp;"Por favor no seleccionar los criterios de impacto",L119)</f>
        <v>0</v>
      </c>
      <c r="N119" s="220"/>
      <c r="O119" s="219"/>
      <c r="P119" s="221"/>
      <c r="Q119" s="113">
        <v>3</v>
      </c>
      <c r="R119" s="126"/>
      <c r="S119" s="115" t="str">
        <f>IF(OR(T119="Preventivo",T119="Detectivo"),"Probabilidad",IF(T119="Correctivo","Impacto",""))</f>
        <v/>
      </c>
      <c r="T119" s="116"/>
      <c r="U119" s="116"/>
      <c r="V119" s="117" t="str">
        <f t="shared" si="139"/>
        <v/>
      </c>
      <c r="W119" s="116"/>
      <c r="X119" s="116"/>
      <c r="Y119" s="116"/>
      <c r="Z119" s="118" t="str">
        <f>IFERROR(IF(AND(S118="Probabilidad",S119="Probabilidad"),(AB118-(+AB118*V119)),IF(AND(S118="Impacto",S119="Probabilidad"),(AB117-(+AB117*V119)),IF(S119="Impacto",AB118,""))),"")</f>
        <v/>
      </c>
      <c r="AA119" s="119" t="str">
        <f t="shared" si="140"/>
        <v/>
      </c>
      <c r="AB119" s="117" t="str">
        <f t="shared" si="141"/>
        <v/>
      </c>
      <c r="AC119" s="119" t="str">
        <f t="shared" si="142"/>
        <v/>
      </c>
      <c r="AD119" s="117" t="str">
        <f>IFERROR(IF(AND(S118="Impacto",S119="Impacto"),(AD118-(+AD118*V119)),IF(AND(S118="Probabilidad",S119="Impacto"),(AD117-(+AD117*V119)),IF(S119="Probabilidad",AD118,""))),"")</f>
        <v/>
      </c>
      <c r="AE119" s="120" t="str">
        <f t="shared" si="143"/>
        <v/>
      </c>
      <c r="AF119" s="116"/>
      <c r="AG119" s="121"/>
      <c r="AH119" s="122"/>
      <c r="AI119" s="123"/>
      <c r="AJ119" s="123"/>
      <c r="AK119" s="121"/>
      <c r="AL119" s="122"/>
    </row>
    <row r="120" spans="1:38" x14ac:dyDescent="0.3">
      <c r="A120" s="222"/>
      <c r="B120" s="139"/>
      <c r="C120" s="139"/>
      <c r="D120" s="223"/>
      <c r="E120" s="213"/>
      <c r="F120" s="141"/>
      <c r="G120" s="223"/>
      <c r="H120" s="140"/>
      <c r="I120" s="224"/>
      <c r="J120" s="220"/>
      <c r="K120" s="219"/>
      <c r="L120" s="218"/>
      <c r="M120" s="219">
        <f ca="1">IF(NOT(ISERROR(MATCH(L120,_xlfn.ANCHORARRAY(E131),0))),K133&amp;"Por favor no seleccionar los criterios de impacto",L120)</f>
        <v>0</v>
      </c>
      <c r="N120" s="220"/>
      <c r="O120" s="219"/>
      <c r="P120" s="221"/>
      <c r="Q120" s="113">
        <v>4</v>
      </c>
      <c r="R120" s="114"/>
      <c r="S120" s="115" t="str">
        <f t="shared" ref="S120:S122" si="144">IF(OR(T120="Preventivo",T120="Detectivo"),"Probabilidad",IF(T120="Correctivo","Impacto",""))</f>
        <v/>
      </c>
      <c r="T120" s="116"/>
      <c r="U120" s="116"/>
      <c r="V120" s="117" t="str">
        <f t="shared" si="139"/>
        <v/>
      </c>
      <c r="W120" s="116"/>
      <c r="X120" s="116"/>
      <c r="Y120" s="116"/>
      <c r="Z120" s="118" t="str">
        <f t="shared" ref="Z120:Z122" si="145">IFERROR(IF(AND(S119="Probabilidad",S120="Probabilidad"),(AB119-(+AB119*V120)),IF(AND(S119="Impacto",S120="Probabilidad"),(AB118-(+AB118*V120)),IF(S120="Impacto",AB119,""))),"")</f>
        <v/>
      </c>
      <c r="AA120" s="119" t="str">
        <f t="shared" si="140"/>
        <v/>
      </c>
      <c r="AB120" s="117" t="str">
        <f t="shared" si="141"/>
        <v/>
      </c>
      <c r="AC120" s="119" t="str">
        <f t="shared" si="142"/>
        <v/>
      </c>
      <c r="AD120" s="117" t="str">
        <f t="shared" ref="AD120:AD122" si="146">IFERROR(IF(AND(S119="Impacto",S120="Impacto"),(AD119-(+AD119*V120)),IF(AND(S119="Probabilidad",S120="Impacto"),(AD118-(+AD118*V120)),IF(S120="Probabilidad",AD119,""))),"")</f>
        <v/>
      </c>
      <c r="AE120" s="120" t="str">
        <f>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
      </c>
      <c r="AF120" s="116"/>
      <c r="AG120" s="121"/>
      <c r="AH120" s="122"/>
      <c r="AI120" s="123"/>
      <c r="AJ120" s="123"/>
      <c r="AK120" s="121"/>
      <c r="AL120" s="122"/>
    </row>
    <row r="121" spans="1:38" x14ac:dyDescent="0.3">
      <c r="A121" s="222"/>
      <c r="B121" s="139"/>
      <c r="C121" s="139"/>
      <c r="D121" s="223"/>
      <c r="E121" s="213"/>
      <c r="F121" s="141"/>
      <c r="G121" s="223"/>
      <c r="H121" s="140"/>
      <c r="I121" s="224"/>
      <c r="J121" s="220"/>
      <c r="K121" s="219"/>
      <c r="L121" s="218"/>
      <c r="M121" s="219">
        <f ca="1">IF(NOT(ISERROR(MATCH(L121,_xlfn.ANCHORARRAY(E132),0))),K134&amp;"Por favor no seleccionar los criterios de impacto",L121)</f>
        <v>0</v>
      </c>
      <c r="N121" s="220"/>
      <c r="O121" s="219"/>
      <c r="P121" s="221"/>
      <c r="Q121" s="113">
        <v>5</v>
      </c>
      <c r="R121" s="114"/>
      <c r="S121" s="115" t="str">
        <f t="shared" si="144"/>
        <v/>
      </c>
      <c r="T121" s="116"/>
      <c r="U121" s="116"/>
      <c r="V121" s="117" t="str">
        <f t="shared" si="139"/>
        <v/>
      </c>
      <c r="W121" s="116"/>
      <c r="X121" s="116"/>
      <c r="Y121" s="116"/>
      <c r="Z121" s="118" t="str">
        <f t="shared" si="145"/>
        <v/>
      </c>
      <c r="AA121" s="119" t="str">
        <f t="shared" si="140"/>
        <v/>
      </c>
      <c r="AB121" s="117" t="str">
        <f t="shared" si="141"/>
        <v/>
      </c>
      <c r="AC121" s="119" t="str">
        <f t="shared" si="142"/>
        <v/>
      </c>
      <c r="AD121" s="117" t="str">
        <f t="shared" si="146"/>
        <v/>
      </c>
      <c r="AE121" s="120" t="str">
        <f t="shared" ref="AE121:AE122" si="147">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6"/>
      <c r="AG121" s="121"/>
      <c r="AH121" s="122"/>
      <c r="AI121" s="123"/>
      <c r="AJ121" s="123"/>
      <c r="AK121" s="121"/>
      <c r="AL121" s="122"/>
    </row>
    <row r="122" spans="1:38" x14ac:dyDescent="0.3">
      <c r="A122" s="222"/>
      <c r="B122" s="139"/>
      <c r="C122" s="139"/>
      <c r="D122" s="223"/>
      <c r="E122" s="213"/>
      <c r="F122" s="141"/>
      <c r="G122" s="223"/>
      <c r="H122" s="140"/>
      <c r="I122" s="224"/>
      <c r="J122" s="220"/>
      <c r="K122" s="219"/>
      <c r="L122" s="218"/>
      <c r="M122" s="219">
        <f ca="1">IF(NOT(ISERROR(MATCH(L122,_xlfn.ANCHORARRAY(E133),0))),K136&amp;"Por favor no seleccionar los criterios de impacto",L122)</f>
        <v>0</v>
      </c>
      <c r="N122" s="220"/>
      <c r="O122" s="219"/>
      <c r="P122" s="221"/>
      <c r="Q122" s="113">
        <v>6</v>
      </c>
      <c r="R122" s="114"/>
      <c r="S122" s="115" t="str">
        <f t="shared" si="144"/>
        <v/>
      </c>
      <c r="T122" s="116"/>
      <c r="U122" s="116"/>
      <c r="V122" s="117" t="str">
        <f t="shared" si="139"/>
        <v/>
      </c>
      <c r="W122" s="116"/>
      <c r="X122" s="116"/>
      <c r="Y122" s="116"/>
      <c r="Z122" s="118" t="str">
        <f t="shared" si="145"/>
        <v/>
      </c>
      <c r="AA122" s="119" t="str">
        <f t="shared" si="140"/>
        <v/>
      </c>
      <c r="AB122" s="117" t="str">
        <f t="shared" si="141"/>
        <v/>
      </c>
      <c r="AC122" s="119" t="str">
        <f t="shared" si="142"/>
        <v/>
      </c>
      <c r="AD122" s="117" t="str">
        <f t="shared" si="146"/>
        <v/>
      </c>
      <c r="AE122" s="120" t="str">
        <f t="shared" si="147"/>
        <v/>
      </c>
      <c r="AF122" s="116"/>
      <c r="AG122" s="121"/>
      <c r="AH122" s="122"/>
      <c r="AI122" s="123"/>
      <c r="AJ122" s="123"/>
      <c r="AK122" s="121"/>
      <c r="AL122" s="122"/>
    </row>
    <row r="123" spans="1:38" x14ac:dyDescent="0.3">
      <c r="A123" s="222">
        <v>9</v>
      </c>
      <c r="B123" s="139"/>
      <c r="C123" s="139"/>
      <c r="D123" s="223"/>
      <c r="E123" s="213"/>
      <c r="F123" s="141"/>
      <c r="G123" s="223"/>
      <c r="H123" s="140"/>
      <c r="I123" s="224"/>
      <c r="J123" s="220" t="str">
        <f>IF(I123&lt;=0,"",IF(I123&lt;=2,"Muy Baja",IF(I123&lt;=24,"Baja",IF(I123&lt;=500,"Media",IF(I123&lt;=5000,"Alta","Muy Alta")))))</f>
        <v/>
      </c>
      <c r="K123" s="219" t="str">
        <f>IF(J123="","",IF(J123="Muy Baja",0.2,IF(J123="Baja",0.4,IF(J123="Media",0.6,IF(J123="Alta",0.8,IF(J123="Muy Alta",1,))))))</f>
        <v/>
      </c>
      <c r="L123" s="218"/>
      <c r="M123" s="219">
        <f>IF(NOT(ISERROR(MATCH(L123,'Tabla Impacto'!$B$221:$B$223,0))),'Tabla Impacto'!$F$223&amp;"Por favor no seleccionar los criterios de impacto(Afectación Económica o presupuestal y Pérdida Reputacional)",L123)</f>
        <v>0</v>
      </c>
      <c r="N123" s="220" t="str">
        <f>IF(OR(M123='Tabla Impacto'!$C$11,M123='Tabla Impacto'!$D$11),"Leve",IF(OR(M123='Tabla Impacto'!$C$12,M123='Tabla Impacto'!$D$12),"Menor",IF(OR(M123='Tabla Impacto'!$C$13,M123='Tabla Impacto'!$D$13),"Moderado",IF(OR(M123='Tabla Impacto'!$C$14,M123='Tabla Impacto'!$D$14),"Mayor",IF(OR(M123='Tabla Impacto'!$C$15,M123='Tabla Impacto'!$D$15),"Catastrófico","")))))</f>
        <v/>
      </c>
      <c r="O123" s="219" t="str">
        <f>IF(N123="","",IF(N123="Leve",0.2,IF(N123="Menor",0.4,IF(N123="Moderado",0.6,IF(N123="Mayor",0.8,IF(N123="Catastrófico",1,))))))</f>
        <v/>
      </c>
      <c r="P123" s="221" t="str">
        <f>IF(OR(AND(J123="Muy Baja",N123="Leve"),AND(J123="Muy Baja",N123="Menor"),AND(J123="Baja",N123="Leve")),"Bajo",IF(OR(AND(J123="Muy baja",N123="Moderado"),AND(J123="Baja",N123="Menor"),AND(J123="Baja",N123="Moderado"),AND(J123="Media",N123="Leve"),AND(J123="Media",N123="Menor"),AND(J123="Media",N123="Moderado"),AND(J123="Alta",N123="Leve"),AND(J123="Alta",N123="Menor")),"Moderado",IF(OR(AND(J123="Muy Baja",N123="Mayor"),AND(J123="Baja",N123="Mayor"),AND(J123="Media",N123="Mayor"),AND(J123="Alta",N123="Moderado"),AND(J123="Alta",N123="Mayor"),AND(J123="Muy Alta",N123="Leve"),AND(J123="Muy Alta",N123="Menor"),AND(J123="Muy Alta",N123="Moderado"),AND(J123="Muy Alta",N123="Mayor")),"Alto",IF(OR(AND(J123="Muy Baja",N123="Catastrófico"),AND(J123="Baja",N123="Catastrófico"),AND(J123="Media",N123="Catastrófico"),AND(J123="Alta",N123="Catastrófico"),AND(J123="Muy Alta",N123="Catastrófico")),"Extremo",""))))</f>
        <v/>
      </c>
      <c r="Q123" s="113">
        <v>1</v>
      </c>
      <c r="R123" s="114"/>
      <c r="S123" s="115" t="str">
        <f>IF(OR(T123="Preventivo",T123="Detectivo"),"Probabilidad",IF(T123="Correctivo","Impacto",""))</f>
        <v/>
      </c>
      <c r="T123" s="116"/>
      <c r="U123" s="116"/>
      <c r="V123" s="117" t="str">
        <f>IF(AND(T123="Preventivo",U123="Automático"),"50%",IF(AND(T123="Preventivo",U123="Manual"),"40%",IF(AND(T123="Detectivo",U123="Automático"),"40%",IF(AND(T123="Detectivo",U123="Manual"),"30%",IF(AND(T123="Correctivo",U123="Automático"),"35%",IF(AND(T123="Correctivo",U123="Manual"),"25%",""))))))</f>
        <v/>
      </c>
      <c r="W123" s="116"/>
      <c r="X123" s="116"/>
      <c r="Y123" s="116"/>
      <c r="Z123" s="118" t="str">
        <f>IFERROR(IF(S123="Probabilidad",(K123-(+K123*V123)),IF(S123="Impacto",K123,"")),"")</f>
        <v/>
      </c>
      <c r="AA123" s="119" t="str">
        <f>IFERROR(IF(Z123="","",IF(Z123&lt;=0.2,"Muy Baja",IF(Z123&lt;=0.4,"Baja",IF(Z123&lt;=0.6,"Media",IF(Z123&lt;=0.8,"Alta","Muy Alta"))))),"")</f>
        <v/>
      </c>
      <c r="AB123" s="117" t="str">
        <f>+Z123</f>
        <v/>
      </c>
      <c r="AC123" s="119" t="str">
        <f>IFERROR(IF(AD123="","",IF(AD123&lt;=0.2,"Leve",IF(AD123&lt;=0.4,"Menor",IF(AD123&lt;=0.6,"Moderado",IF(AD123&lt;=0.8,"Mayor","Catastrófico"))))),"")</f>
        <v/>
      </c>
      <c r="AD123" s="117" t="str">
        <f>IFERROR(IF(S123="Impacto",(O123-(+O123*V123)),IF(S123="Probabilidad",O123,"")),"")</f>
        <v/>
      </c>
      <c r="AE123" s="120" t="str">
        <f>IFERROR(IF(OR(AND(AA123="Muy Baja",AC123="Leve"),AND(AA123="Muy Baja",AC123="Menor"),AND(AA123="Baja",AC123="Leve")),"Bajo",IF(OR(AND(AA123="Muy baja",AC123="Moderado"),AND(AA123="Baja",AC123="Menor"),AND(AA123="Baja",AC123="Moderado"),AND(AA123="Media",AC123="Leve"),AND(AA123="Media",AC123="Menor"),AND(AA123="Media",AC123="Moderado"),AND(AA123="Alta",AC123="Leve"),AND(AA123="Alta",AC123="Menor")),"Moderado",IF(OR(AND(AA123="Muy Baja",AC123="Mayor"),AND(AA123="Baja",AC123="Mayor"),AND(AA123="Media",AC123="Mayor"),AND(AA123="Alta",AC123="Moderado"),AND(AA123="Alta",AC123="Mayor"),AND(AA123="Muy Alta",AC123="Leve"),AND(AA123="Muy Alta",AC123="Menor"),AND(AA123="Muy Alta",AC123="Moderado"),AND(AA123="Muy Alta",AC123="Mayor")),"Alto",IF(OR(AND(AA123="Muy Baja",AC123="Catastrófico"),AND(AA123="Baja",AC123="Catastrófico"),AND(AA123="Media",AC123="Catastrófico"),AND(AA123="Alta",AC123="Catastrófico"),AND(AA123="Muy Alta",AC123="Catastrófico")),"Extremo","")))),"")</f>
        <v/>
      </c>
      <c r="AF123" s="116"/>
      <c r="AG123" s="121"/>
      <c r="AH123" s="122"/>
      <c r="AI123" s="123"/>
      <c r="AJ123" s="123"/>
      <c r="AK123" s="121"/>
      <c r="AL123" s="122"/>
    </row>
    <row r="124" spans="1:38" x14ac:dyDescent="0.3">
      <c r="A124" s="222"/>
      <c r="B124" s="139"/>
      <c r="C124" s="139"/>
      <c r="D124" s="223"/>
      <c r="E124" s="213"/>
      <c r="F124" s="141"/>
      <c r="G124" s="223"/>
      <c r="H124" s="140"/>
      <c r="I124" s="224"/>
      <c r="J124" s="220"/>
      <c r="K124" s="219"/>
      <c r="L124" s="218"/>
      <c r="M124" s="219">
        <f ca="1">IF(NOT(ISERROR(MATCH(L124,_xlfn.ANCHORARRAY(E136),0))),K138&amp;"Por favor no seleccionar los criterios de impacto",L124)</f>
        <v>0</v>
      </c>
      <c r="N124" s="220"/>
      <c r="O124" s="219"/>
      <c r="P124" s="221"/>
      <c r="Q124" s="113">
        <v>2</v>
      </c>
      <c r="R124" s="114"/>
      <c r="S124" s="115" t="str">
        <f>IF(OR(T124="Preventivo",T124="Detectivo"),"Probabilidad",IF(T124="Correctivo","Impacto",""))</f>
        <v/>
      </c>
      <c r="T124" s="116"/>
      <c r="U124" s="116"/>
      <c r="V124" s="117" t="str">
        <f t="shared" ref="V124:V128" si="148">IF(AND(T124="Preventivo",U124="Automático"),"50%",IF(AND(T124="Preventivo",U124="Manual"),"40%",IF(AND(T124="Detectivo",U124="Automático"),"40%",IF(AND(T124="Detectivo",U124="Manual"),"30%",IF(AND(T124="Correctivo",U124="Automático"),"35%",IF(AND(T124="Correctivo",U124="Manual"),"25%",""))))))</f>
        <v/>
      </c>
      <c r="W124" s="116"/>
      <c r="X124" s="116"/>
      <c r="Y124" s="116"/>
      <c r="Z124" s="118" t="str">
        <f>IFERROR(IF(AND(S123="Probabilidad",S124="Probabilidad"),(AB123-(+AB123*V124)),IF(S124="Probabilidad",(K123-(+K123*V124)),IF(S124="Impacto",AB123,""))),"")</f>
        <v/>
      </c>
      <c r="AA124" s="119" t="str">
        <f t="shared" ref="AA124:AA128" si="149">IFERROR(IF(Z124="","",IF(Z124&lt;=0.2,"Muy Baja",IF(Z124&lt;=0.4,"Baja",IF(Z124&lt;=0.6,"Media",IF(Z124&lt;=0.8,"Alta","Muy Alta"))))),"")</f>
        <v/>
      </c>
      <c r="AB124" s="117" t="str">
        <f t="shared" ref="AB124:AB128" si="150">+Z124</f>
        <v/>
      </c>
      <c r="AC124" s="119" t="str">
        <f t="shared" ref="AC124:AC128" si="151">IFERROR(IF(AD124="","",IF(AD124&lt;=0.2,"Leve",IF(AD124&lt;=0.4,"Menor",IF(AD124&lt;=0.6,"Moderado",IF(AD124&lt;=0.8,"Mayor","Catastrófico"))))),"")</f>
        <v/>
      </c>
      <c r="AD124" s="117" t="str">
        <f>IFERROR(IF(AND(S123="Impacto",S124="Impacto"),(AD117-(+AD117*V124)),IF(S124="Impacto",($O$63-(+$O$63*V124)),IF(S124="Probabilidad",AD117,""))),"")</f>
        <v/>
      </c>
      <c r="AE124" s="120" t="str">
        <f t="shared" ref="AE124:AE125" si="152">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6"/>
      <c r="AG124" s="121"/>
      <c r="AH124" s="122"/>
      <c r="AI124" s="123"/>
      <c r="AJ124" s="123"/>
      <c r="AK124" s="121"/>
      <c r="AL124" s="122"/>
    </row>
    <row r="125" spans="1:38" x14ac:dyDescent="0.3">
      <c r="A125" s="222"/>
      <c r="B125" s="139"/>
      <c r="C125" s="139"/>
      <c r="D125" s="223"/>
      <c r="E125" s="213"/>
      <c r="F125" s="141"/>
      <c r="G125" s="223"/>
      <c r="H125" s="140"/>
      <c r="I125" s="224"/>
      <c r="J125" s="220"/>
      <c r="K125" s="219"/>
      <c r="L125" s="218"/>
      <c r="M125" s="219">
        <f ca="1">IF(NOT(ISERROR(MATCH(L125,_xlfn.ANCHORARRAY(E137),0))),K139&amp;"Por favor no seleccionar los criterios de impacto",L125)</f>
        <v>0</v>
      </c>
      <c r="N125" s="220"/>
      <c r="O125" s="219"/>
      <c r="P125" s="221"/>
      <c r="Q125" s="113">
        <v>3</v>
      </c>
      <c r="R125" s="126"/>
      <c r="S125" s="115" t="str">
        <f>IF(OR(T125="Preventivo",T125="Detectivo"),"Probabilidad",IF(T125="Correctivo","Impacto",""))</f>
        <v/>
      </c>
      <c r="T125" s="116"/>
      <c r="U125" s="116"/>
      <c r="V125" s="117" t="str">
        <f t="shared" si="148"/>
        <v/>
      </c>
      <c r="W125" s="116"/>
      <c r="X125" s="116"/>
      <c r="Y125" s="116"/>
      <c r="Z125" s="118" t="str">
        <f>IFERROR(IF(AND(S124="Probabilidad",S125="Probabilidad"),(AB124-(+AB124*V125)),IF(AND(S124="Impacto",S125="Probabilidad"),(AB123-(+AB123*V125)),IF(S125="Impacto",AB124,""))),"")</f>
        <v/>
      </c>
      <c r="AA125" s="119" t="str">
        <f t="shared" si="149"/>
        <v/>
      </c>
      <c r="AB125" s="117" t="str">
        <f t="shared" si="150"/>
        <v/>
      </c>
      <c r="AC125" s="119" t="str">
        <f t="shared" si="151"/>
        <v/>
      </c>
      <c r="AD125" s="117" t="str">
        <f>IFERROR(IF(AND(S124="Impacto",S125="Impacto"),(AD124-(+AD124*V125)),IF(AND(S124="Probabilidad",S125="Impacto"),(AD123-(+AD123*V125)),IF(S125="Probabilidad",AD124,""))),"")</f>
        <v/>
      </c>
      <c r="AE125" s="120" t="str">
        <f t="shared" si="152"/>
        <v/>
      </c>
      <c r="AF125" s="116"/>
      <c r="AG125" s="121"/>
      <c r="AH125" s="122"/>
      <c r="AI125" s="123"/>
      <c r="AJ125" s="123"/>
      <c r="AK125" s="121"/>
      <c r="AL125" s="122"/>
    </row>
    <row r="126" spans="1:38" x14ac:dyDescent="0.3">
      <c r="A126" s="222"/>
      <c r="B126" s="139"/>
      <c r="C126" s="139"/>
      <c r="D126" s="223"/>
      <c r="E126" s="213"/>
      <c r="F126" s="141"/>
      <c r="G126" s="223"/>
      <c r="H126" s="140"/>
      <c r="I126" s="224"/>
      <c r="J126" s="220"/>
      <c r="K126" s="219"/>
      <c r="L126" s="218"/>
      <c r="M126" s="219">
        <f ca="1">IF(NOT(ISERROR(MATCH(L126,_xlfn.ANCHORARRAY(E138),0))),K140&amp;"Por favor no seleccionar los criterios de impacto",L126)</f>
        <v>0</v>
      </c>
      <c r="N126" s="220"/>
      <c r="O126" s="219"/>
      <c r="P126" s="221"/>
      <c r="Q126" s="113">
        <v>4</v>
      </c>
      <c r="R126" s="114"/>
      <c r="S126" s="115" t="str">
        <f t="shared" ref="S126:S128" si="153">IF(OR(T126="Preventivo",T126="Detectivo"),"Probabilidad",IF(T126="Correctivo","Impacto",""))</f>
        <v/>
      </c>
      <c r="T126" s="116"/>
      <c r="U126" s="116"/>
      <c r="V126" s="117" t="str">
        <f t="shared" si="148"/>
        <v/>
      </c>
      <c r="W126" s="116"/>
      <c r="X126" s="116"/>
      <c r="Y126" s="116"/>
      <c r="Z126" s="118" t="str">
        <f t="shared" ref="Z126:Z128" si="154">IFERROR(IF(AND(S125="Probabilidad",S126="Probabilidad"),(AB125-(+AB125*V126)),IF(AND(S125="Impacto",S126="Probabilidad"),(AB124-(+AB124*V126)),IF(S126="Impacto",AB125,""))),"")</f>
        <v/>
      </c>
      <c r="AA126" s="119" t="str">
        <f t="shared" si="149"/>
        <v/>
      </c>
      <c r="AB126" s="117" t="str">
        <f t="shared" si="150"/>
        <v/>
      </c>
      <c r="AC126" s="119" t="str">
        <f t="shared" si="151"/>
        <v/>
      </c>
      <c r="AD126" s="117" t="str">
        <f t="shared" ref="AD126:AD128" si="155">IFERROR(IF(AND(S125="Impacto",S126="Impacto"),(AD125-(+AD125*V126)),IF(AND(S125="Probabilidad",S126="Impacto"),(AD124-(+AD124*V126)),IF(S126="Probabilidad",AD125,""))),"")</f>
        <v/>
      </c>
      <c r="AE126" s="120" t="str">
        <f>IFERROR(IF(OR(AND(AA126="Muy Baja",AC126="Leve"),AND(AA126="Muy Baja",AC126="Menor"),AND(AA126="Baja",AC126="Leve")),"Bajo",IF(OR(AND(AA126="Muy baja",AC126="Moderado"),AND(AA126="Baja",AC126="Menor"),AND(AA126="Baja",AC126="Moderado"),AND(AA126="Media",AC126="Leve"),AND(AA126="Media",AC126="Menor"),AND(AA126="Media",AC126="Moderado"),AND(AA126="Alta",AC126="Leve"),AND(AA126="Alta",AC126="Menor")),"Moderado",IF(OR(AND(AA126="Muy Baja",AC126="Mayor"),AND(AA126="Baja",AC126="Mayor"),AND(AA126="Media",AC126="Mayor"),AND(AA126="Alta",AC126="Moderado"),AND(AA126="Alta",AC126="Mayor"),AND(AA126="Muy Alta",AC126="Leve"),AND(AA126="Muy Alta",AC126="Menor"),AND(AA126="Muy Alta",AC126="Moderado"),AND(AA126="Muy Alta",AC126="Mayor")),"Alto",IF(OR(AND(AA126="Muy Baja",AC126="Catastrófico"),AND(AA126="Baja",AC126="Catastrófico"),AND(AA126="Media",AC126="Catastrófico"),AND(AA126="Alta",AC126="Catastrófico"),AND(AA126="Muy Alta",AC126="Catastrófico")),"Extremo","")))),"")</f>
        <v/>
      </c>
      <c r="AF126" s="116"/>
      <c r="AG126" s="121"/>
      <c r="AH126" s="122"/>
      <c r="AI126" s="123"/>
      <c r="AJ126" s="123"/>
      <c r="AK126" s="121"/>
      <c r="AL126" s="122"/>
    </row>
    <row r="127" spans="1:38" x14ac:dyDescent="0.3">
      <c r="A127" s="222"/>
      <c r="B127" s="139"/>
      <c r="C127" s="139"/>
      <c r="D127" s="223"/>
      <c r="E127" s="213"/>
      <c r="F127" s="141"/>
      <c r="G127" s="223"/>
      <c r="H127" s="140"/>
      <c r="I127" s="224"/>
      <c r="J127" s="220"/>
      <c r="K127" s="219"/>
      <c r="L127" s="218"/>
      <c r="M127" s="219">
        <f ca="1">IF(NOT(ISERROR(MATCH(L127,_xlfn.ANCHORARRAY(E139),0))),K141&amp;"Por favor no seleccionar los criterios de impacto",L127)</f>
        <v>0</v>
      </c>
      <c r="N127" s="220"/>
      <c r="O127" s="219"/>
      <c r="P127" s="221"/>
      <c r="Q127" s="113">
        <v>5</v>
      </c>
      <c r="R127" s="114"/>
      <c r="S127" s="115" t="str">
        <f t="shared" si="153"/>
        <v/>
      </c>
      <c r="T127" s="116"/>
      <c r="U127" s="116"/>
      <c r="V127" s="117" t="str">
        <f t="shared" si="148"/>
        <v/>
      </c>
      <c r="W127" s="116"/>
      <c r="X127" s="116"/>
      <c r="Y127" s="116"/>
      <c r="Z127" s="118" t="str">
        <f t="shared" si="154"/>
        <v/>
      </c>
      <c r="AA127" s="119" t="str">
        <f t="shared" si="149"/>
        <v/>
      </c>
      <c r="AB127" s="117" t="str">
        <f t="shared" si="150"/>
        <v/>
      </c>
      <c r="AC127" s="119" t="str">
        <f t="shared" si="151"/>
        <v/>
      </c>
      <c r="AD127" s="117" t="str">
        <f t="shared" si="155"/>
        <v/>
      </c>
      <c r="AE127" s="120" t="str">
        <f t="shared" ref="AE127:AE128" si="156">IFERROR(IF(OR(AND(AA127="Muy Baja",AC127="Leve"),AND(AA127="Muy Baja",AC127="Menor"),AND(AA127="Baja",AC127="Leve")),"Bajo",IF(OR(AND(AA127="Muy baja",AC127="Moderado"),AND(AA127="Baja",AC127="Menor"),AND(AA127="Baja",AC127="Moderado"),AND(AA127="Media",AC127="Leve"),AND(AA127="Media",AC127="Menor"),AND(AA127="Media",AC127="Moderado"),AND(AA127="Alta",AC127="Leve"),AND(AA127="Alta",AC127="Menor")),"Moderado",IF(OR(AND(AA127="Muy Baja",AC127="Mayor"),AND(AA127="Baja",AC127="Mayor"),AND(AA127="Media",AC127="Mayor"),AND(AA127="Alta",AC127="Moderado"),AND(AA127="Alta",AC127="Mayor"),AND(AA127="Muy Alta",AC127="Leve"),AND(AA127="Muy Alta",AC127="Menor"),AND(AA127="Muy Alta",AC127="Moderado"),AND(AA127="Muy Alta",AC127="Mayor")),"Alto",IF(OR(AND(AA127="Muy Baja",AC127="Catastrófico"),AND(AA127="Baja",AC127="Catastrófico"),AND(AA127="Media",AC127="Catastrófico"),AND(AA127="Alta",AC127="Catastrófico"),AND(AA127="Muy Alta",AC127="Catastrófico")),"Extremo","")))),"")</f>
        <v/>
      </c>
      <c r="AF127" s="116"/>
      <c r="AG127" s="121"/>
      <c r="AH127" s="122"/>
      <c r="AI127" s="123"/>
      <c r="AJ127" s="123"/>
      <c r="AK127" s="121"/>
      <c r="AL127" s="122"/>
    </row>
    <row r="128" spans="1:38" x14ac:dyDescent="0.3">
      <c r="A128" s="222"/>
      <c r="B128" s="139"/>
      <c r="C128" s="139"/>
      <c r="D128" s="223"/>
      <c r="E128" s="213"/>
      <c r="F128" s="141"/>
      <c r="G128" s="223"/>
      <c r="H128" s="140"/>
      <c r="I128" s="224"/>
      <c r="J128" s="220"/>
      <c r="K128" s="219"/>
      <c r="L128" s="218"/>
      <c r="M128" s="219">
        <f ca="1">IF(NOT(ISERROR(MATCH(L128,_xlfn.ANCHORARRAY(E140),0))),K142&amp;"Por favor no seleccionar los criterios de impacto",L128)</f>
        <v>0</v>
      </c>
      <c r="N128" s="220"/>
      <c r="O128" s="219"/>
      <c r="P128" s="221"/>
      <c r="Q128" s="113">
        <v>6</v>
      </c>
      <c r="R128" s="114"/>
      <c r="S128" s="115" t="str">
        <f t="shared" si="153"/>
        <v/>
      </c>
      <c r="T128" s="116"/>
      <c r="U128" s="116"/>
      <c r="V128" s="117" t="str">
        <f t="shared" si="148"/>
        <v/>
      </c>
      <c r="W128" s="116"/>
      <c r="X128" s="116"/>
      <c r="Y128" s="116"/>
      <c r="Z128" s="118" t="str">
        <f t="shared" si="154"/>
        <v/>
      </c>
      <c r="AA128" s="119" t="str">
        <f t="shared" si="149"/>
        <v/>
      </c>
      <c r="AB128" s="117" t="str">
        <f t="shared" si="150"/>
        <v/>
      </c>
      <c r="AC128" s="119" t="str">
        <f t="shared" si="151"/>
        <v/>
      </c>
      <c r="AD128" s="117" t="str">
        <f t="shared" si="155"/>
        <v/>
      </c>
      <c r="AE128" s="120" t="str">
        <f t="shared" si="156"/>
        <v/>
      </c>
      <c r="AF128" s="116"/>
      <c r="AG128" s="121"/>
      <c r="AH128" s="122"/>
      <c r="AI128" s="123"/>
      <c r="AJ128" s="123"/>
      <c r="AK128" s="121"/>
      <c r="AL128" s="122"/>
    </row>
    <row r="129" spans="1:38" x14ac:dyDescent="0.3">
      <c r="A129" s="222">
        <v>10</v>
      </c>
      <c r="B129" s="139"/>
      <c r="C129" s="139"/>
      <c r="D129" s="223"/>
      <c r="E129" s="213"/>
      <c r="F129" s="141"/>
      <c r="G129" s="223"/>
      <c r="H129" s="140"/>
      <c r="I129" s="224"/>
      <c r="J129" s="220" t="str">
        <f>IF(I129&lt;=0,"",IF(I129&lt;=2,"Muy Baja",IF(I129&lt;=24,"Baja",IF(I129&lt;=500,"Media",IF(I129&lt;=5000,"Alta","Muy Alta")))))</f>
        <v/>
      </c>
      <c r="K129" s="219" t="str">
        <f>IF(J129="","",IF(J129="Muy Baja",0.2,IF(J129="Baja",0.4,IF(J129="Media",0.6,IF(J129="Alta",0.8,IF(J129="Muy Alta",1,))))))</f>
        <v/>
      </c>
      <c r="L129" s="218"/>
      <c r="M129" s="219">
        <f>IF(NOT(ISERROR(MATCH(L129,'Tabla Impacto'!$B$221:$B$223,0))),'Tabla Impacto'!$F$223&amp;"Por favor no seleccionar los criterios de impacto(Afectación Económica o presupuestal y Pérdida Reputacional)",L129)</f>
        <v>0</v>
      </c>
      <c r="N129" s="220" t="str">
        <f>IF(OR(M129='Tabla Impacto'!$C$11,M129='Tabla Impacto'!$D$11),"Leve",IF(OR(M129='Tabla Impacto'!$C$12,M129='Tabla Impacto'!$D$12),"Menor",IF(OR(M129='Tabla Impacto'!$C$13,M129='Tabla Impacto'!$D$13),"Moderado",IF(OR(M129='Tabla Impacto'!$C$14,M129='Tabla Impacto'!$D$14),"Mayor",IF(OR(M129='Tabla Impacto'!$C$15,M129='Tabla Impacto'!$D$15),"Catastrófico","")))))</f>
        <v/>
      </c>
      <c r="O129" s="219" t="str">
        <f>IF(N129="","",IF(N129="Leve",0.2,IF(N129="Menor",0.4,IF(N129="Moderado",0.6,IF(N129="Mayor",0.8,IF(N129="Catastrófico",1,))))))</f>
        <v/>
      </c>
      <c r="P129" s="221" t="str">
        <f>IF(OR(AND(J129="Muy Baja",N129="Leve"),AND(J129="Muy Baja",N129="Menor"),AND(J129="Baja",N129="Leve")),"Bajo",IF(OR(AND(J129="Muy baja",N129="Moderado"),AND(J129="Baja",N129="Menor"),AND(J129="Baja",N129="Moderado"),AND(J129="Media",N129="Leve"),AND(J129="Media",N129="Menor"),AND(J129="Media",N129="Moderado"),AND(J129="Alta",N129="Leve"),AND(J129="Alta",N129="Menor")),"Moderado",IF(OR(AND(J129="Muy Baja",N129="Mayor"),AND(J129="Baja",N129="Mayor"),AND(J129="Media",N129="Mayor"),AND(J129="Alta",N129="Moderado"),AND(J129="Alta",N129="Mayor"),AND(J129="Muy Alta",N129="Leve"),AND(J129="Muy Alta",N129="Menor"),AND(J129="Muy Alta",N129="Moderado"),AND(J129="Muy Alta",N129="Mayor")),"Alto",IF(OR(AND(J129="Muy Baja",N129="Catastrófico"),AND(J129="Baja",N129="Catastrófico"),AND(J129="Media",N129="Catastrófico"),AND(J129="Alta",N129="Catastrófico"),AND(J129="Muy Alta",N129="Catastrófico")),"Extremo",""))))</f>
        <v/>
      </c>
      <c r="Q129" s="113">
        <v>1</v>
      </c>
      <c r="R129" s="114"/>
      <c r="S129" s="115" t="str">
        <f>IF(OR(T129="Preventivo",T129="Detectivo"),"Probabilidad",IF(T129="Correctivo","Impacto",""))</f>
        <v/>
      </c>
      <c r="T129" s="116"/>
      <c r="U129" s="116"/>
      <c r="V129" s="117" t="str">
        <f>IF(AND(T129="Preventivo",U129="Automático"),"50%",IF(AND(T129="Preventivo",U129="Manual"),"40%",IF(AND(T129="Detectivo",U129="Automático"),"40%",IF(AND(T129="Detectivo",U129="Manual"),"30%",IF(AND(T129="Correctivo",U129="Automático"),"35%",IF(AND(T129="Correctivo",U129="Manual"),"25%",""))))))</f>
        <v/>
      </c>
      <c r="W129" s="116"/>
      <c r="X129" s="116"/>
      <c r="Y129" s="116"/>
      <c r="Z129" s="118" t="str">
        <f>IFERROR(IF(S129="Probabilidad",(K129-(+K129*V129)),IF(S129="Impacto",K129,"")),"")</f>
        <v/>
      </c>
      <c r="AA129" s="119" t="str">
        <f>IFERROR(IF(Z129="","",IF(Z129&lt;=0.2,"Muy Baja",IF(Z129&lt;=0.4,"Baja",IF(Z129&lt;=0.6,"Media",IF(Z129&lt;=0.8,"Alta","Muy Alta"))))),"")</f>
        <v/>
      </c>
      <c r="AB129" s="117" t="str">
        <f>+Z129</f>
        <v/>
      </c>
      <c r="AC129" s="119" t="str">
        <f>IFERROR(IF(AD129="","",IF(AD129&lt;=0.2,"Leve",IF(AD129&lt;=0.4,"Menor",IF(AD129&lt;=0.6,"Moderado",IF(AD129&lt;=0.8,"Mayor","Catastrófico"))))),"")</f>
        <v/>
      </c>
      <c r="AD129" s="117" t="str">
        <f>IFERROR(IF(S129="Impacto",(O129-(+O129*V129)),IF(S129="Probabilidad",O129,"")),"")</f>
        <v/>
      </c>
      <c r="AE129" s="120" t="str">
        <f>IFERROR(IF(OR(AND(AA129="Muy Baja",AC129="Leve"),AND(AA129="Muy Baja",AC129="Menor"),AND(AA129="Baja",AC129="Leve")),"Bajo",IF(OR(AND(AA129="Muy baja",AC129="Moderado"),AND(AA129="Baja",AC129="Menor"),AND(AA129="Baja",AC129="Moderado"),AND(AA129="Media",AC129="Leve"),AND(AA129="Media",AC129="Menor"),AND(AA129="Media",AC129="Moderado"),AND(AA129="Alta",AC129="Leve"),AND(AA129="Alta",AC129="Menor")),"Moderado",IF(OR(AND(AA129="Muy Baja",AC129="Mayor"),AND(AA129="Baja",AC129="Mayor"),AND(AA129="Media",AC129="Mayor"),AND(AA129="Alta",AC129="Moderado"),AND(AA129="Alta",AC129="Mayor"),AND(AA129="Muy Alta",AC129="Leve"),AND(AA129="Muy Alta",AC129="Menor"),AND(AA129="Muy Alta",AC129="Moderado"),AND(AA129="Muy Alta",AC129="Mayor")),"Alto",IF(OR(AND(AA129="Muy Baja",AC129="Catastrófico"),AND(AA129="Baja",AC129="Catastrófico"),AND(AA129="Media",AC129="Catastrófico"),AND(AA129="Alta",AC129="Catastrófico"),AND(AA129="Muy Alta",AC129="Catastrófico")),"Extremo","")))),"")</f>
        <v/>
      </c>
      <c r="AF129" s="116"/>
      <c r="AG129" s="121"/>
      <c r="AH129" s="122"/>
      <c r="AI129" s="123"/>
      <c r="AJ129" s="123"/>
      <c r="AK129" s="121"/>
      <c r="AL129" s="122"/>
    </row>
    <row r="130" spans="1:38" x14ac:dyDescent="0.3">
      <c r="A130" s="222"/>
      <c r="B130" s="139"/>
      <c r="C130" s="139"/>
      <c r="D130" s="223"/>
      <c r="E130" s="213"/>
      <c r="F130" s="141"/>
      <c r="G130" s="223"/>
      <c r="H130" s="140"/>
      <c r="I130" s="224"/>
      <c r="J130" s="220"/>
      <c r="K130" s="219"/>
      <c r="L130" s="218"/>
      <c r="M130" s="219">
        <f ca="1">IF(NOT(ISERROR(MATCH(L130,_xlfn.ANCHORARRAY(E142),0))),K144&amp;"Por favor no seleccionar los criterios de impacto",L130)</f>
        <v>0</v>
      </c>
      <c r="N130" s="220"/>
      <c r="O130" s="219"/>
      <c r="P130" s="221"/>
      <c r="Q130" s="113">
        <v>2</v>
      </c>
      <c r="R130" s="114"/>
      <c r="S130" s="115" t="str">
        <f>IF(OR(T130="Preventivo",T130="Detectivo"),"Probabilidad",IF(T130="Correctivo","Impacto",""))</f>
        <v/>
      </c>
      <c r="T130" s="116"/>
      <c r="U130" s="116"/>
      <c r="V130" s="117" t="str">
        <f t="shared" ref="V130:V134" si="157">IF(AND(T130="Preventivo",U130="Automático"),"50%",IF(AND(T130="Preventivo",U130="Manual"),"40%",IF(AND(T130="Detectivo",U130="Automático"),"40%",IF(AND(T130="Detectivo",U130="Manual"),"30%",IF(AND(T130="Correctivo",U130="Automático"),"35%",IF(AND(T130="Correctivo",U130="Manual"),"25%",""))))))</f>
        <v/>
      </c>
      <c r="W130" s="116"/>
      <c r="X130" s="116"/>
      <c r="Y130" s="116"/>
      <c r="Z130" s="118" t="str">
        <f>IFERROR(IF(AND(S129="Probabilidad",S130="Probabilidad"),(AB129-(+AB129*V130)),IF(S130="Probabilidad",(K129-(+K129*V130)),IF(S130="Impacto",AB129,""))),"")</f>
        <v/>
      </c>
      <c r="AA130" s="119" t="str">
        <f t="shared" ref="AA130:AA134" si="158">IFERROR(IF(Z130="","",IF(Z130&lt;=0.2,"Muy Baja",IF(Z130&lt;=0.4,"Baja",IF(Z130&lt;=0.6,"Media",IF(Z130&lt;=0.8,"Alta","Muy Alta"))))),"")</f>
        <v/>
      </c>
      <c r="AB130" s="117" t="str">
        <f t="shared" ref="AB130:AB134" si="159">+Z130</f>
        <v/>
      </c>
      <c r="AC130" s="119" t="str">
        <f t="shared" ref="AC130:AC134" si="160">IFERROR(IF(AD130="","",IF(AD130&lt;=0.2,"Leve",IF(AD130&lt;=0.4,"Menor",IF(AD130&lt;=0.6,"Moderado",IF(AD130&lt;=0.8,"Mayor","Catastrófico"))))),"")</f>
        <v/>
      </c>
      <c r="AD130" s="117" t="str">
        <f>IFERROR(IF(AND(S129="Impacto",S130="Impacto"),(AD123-(+AD123*V130)),IF(S130="Impacto",($O$69-(+$O$69*V130)),IF(S130="Probabilidad",AD123,""))),"")</f>
        <v/>
      </c>
      <c r="AE130" s="120" t="str">
        <f t="shared" ref="AE130:AE131" si="161">IFERROR(IF(OR(AND(AA130="Muy Baja",AC130="Leve"),AND(AA130="Muy Baja",AC130="Menor"),AND(AA130="Baja",AC130="Leve")),"Bajo",IF(OR(AND(AA130="Muy baja",AC130="Moderado"),AND(AA130="Baja",AC130="Menor"),AND(AA130="Baja",AC130="Moderado"),AND(AA130="Media",AC130="Leve"),AND(AA130="Media",AC130="Menor"),AND(AA130="Media",AC130="Moderado"),AND(AA130="Alta",AC130="Leve"),AND(AA130="Alta",AC130="Menor")),"Moderado",IF(OR(AND(AA130="Muy Baja",AC130="Mayor"),AND(AA130="Baja",AC130="Mayor"),AND(AA130="Media",AC130="Mayor"),AND(AA130="Alta",AC130="Moderado"),AND(AA130="Alta",AC130="Mayor"),AND(AA130="Muy Alta",AC130="Leve"),AND(AA130="Muy Alta",AC130="Menor"),AND(AA130="Muy Alta",AC130="Moderado"),AND(AA130="Muy Alta",AC130="Mayor")),"Alto",IF(OR(AND(AA130="Muy Baja",AC130="Catastrófico"),AND(AA130="Baja",AC130="Catastrófico"),AND(AA130="Media",AC130="Catastrófico"),AND(AA130="Alta",AC130="Catastrófico"),AND(AA130="Muy Alta",AC130="Catastrófico")),"Extremo","")))),"")</f>
        <v/>
      </c>
      <c r="AF130" s="116"/>
      <c r="AG130" s="121"/>
      <c r="AH130" s="122"/>
      <c r="AI130" s="123"/>
      <c r="AJ130" s="123"/>
      <c r="AK130" s="121"/>
      <c r="AL130" s="122"/>
    </row>
    <row r="131" spans="1:38" x14ac:dyDescent="0.3">
      <c r="A131" s="222"/>
      <c r="B131" s="139"/>
      <c r="C131" s="139"/>
      <c r="D131" s="223"/>
      <c r="E131" s="213"/>
      <c r="F131" s="141"/>
      <c r="G131" s="223"/>
      <c r="H131" s="140"/>
      <c r="I131" s="224"/>
      <c r="J131" s="220"/>
      <c r="K131" s="219"/>
      <c r="L131" s="218"/>
      <c r="M131" s="219">
        <f ca="1">IF(NOT(ISERROR(MATCH(L131,_xlfn.ANCHORARRAY(E143),0))),K145&amp;"Por favor no seleccionar los criterios de impacto",L131)</f>
        <v>0</v>
      </c>
      <c r="N131" s="220"/>
      <c r="O131" s="219"/>
      <c r="P131" s="221"/>
      <c r="Q131" s="113">
        <v>3</v>
      </c>
      <c r="R131" s="126"/>
      <c r="S131" s="115" t="str">
        <f>IF(OR(T131="Preventivo",T131="Detectivo"),"Probabilidad",IF(T131="Correctivo","Impacto",""))</f>
        <v/>
      </c>
      <c r="T131" s="116"/>
      <c r="U131" s="116"/>
      <c r="V131" s="117" t="str">
        <f t="shared" si="157"/>
        <v/>
      </c>
      <c r="W131" s="116"/>
      <c r="X131" s="116"/>
      <c r="Y131" s="116"/>
      <c r="Z131" s="118" t="str">
        <f>IFERROR(IF(AND(S130="Probabilidad",S131="Probabilidad"),(AB130-(+AB130*V131)),IF(AND(S130="Impacto",S131="Probabilidad"),(AB129-(+AB129*V131)),IF(S131="Impacto",AB130,""))),"")</f>
        <v/>
      </c>
      <c r="AA131" s="119" t="str">
        <f t="shared" si="158"/>
        <v/>
      </c>
      <c r="AB131" s="117" t="str">
        <f t="shared" si="159"/>
        <v/>
      </c>
      <c r="AC131" s="119" t="str">
        <f t="shared" si="160"/>
        <v/>
      </c>
      <c r="AD131" s="117" t="str">
        <f>IFERROR(IF(AND(S130="Impacto",S131="Impacto"),(AD130-(+AD130*V131)),IF(AND(S130="Probabilidad",S131="Impacto"),(AD129-(+AD129*V131)),IF(S131="Probabilidad",AD130,""))),"")</f>
        <v/>
      </c>
      <c r="AE131" s="120" t="str">
        <f t="shared" si="161"/>
        <v/>
      </c>
      <c r="AF131" s="116"/>
      <c r="AG131" s="121"/>
      <c r="AH131" s="122"/>
      <c r="AI131" s="123"/>
      <c r="AJ131" s="123"/>
      <c r="AK131" s="121"/>
      <c r="AL131" s="122"/>
    </row>
    <row r="132" spans="1:38" x14ac:dyDescent="0.3">
      <c r="A132" s="222"/>
      <c r="B132" s="139"/>
      <c r="C132" s="139"/>
      <c r="D132" s="223"/>
      <c r="E132" s="213"/>
      <c r="F132" s="141"/>
      <c r="G132" s="223"/>
      <c r="H132" s="140"/>
      <c r="I132" s="224"/>
      <c r="J132" s="220"/>
      <c r="K132" s="219"/>
      <c r="L132" s="218"/>
      <c r="M132" s="219">
        <f ca="1">IF(NOT(ISERROR(MATCH(L132,_xlfn.ANCHORARRAY(E144),0))),K146&amp;"Por favor no seleccionar los criterios de impacto",L132)</f>
        <v>0</v>
      </c>
      <c r="N132" s="220"/>
      <c r="O132" s="219"/>
      <c r="P132" s="221"/>
      <c r="Q132" s="113">
        <v>4</v>
      </c>
      <c r="R132" s="114"/>
      <c r="S132" s="115" t="str">
        <f t="shared" ref="S132:S134" si="162">IF(OR(T132="Preventivo",T132="Detectivo"),"Probabilidad",IF(T132="Correctivo","Impacto",""))</f>
        <v/>
      </c>
      <c r="T132" s="116"/>
      <c r="U132" s="116"/>
      <c r="V132" s="117" t="str">
        <f t="shared" si="157"/>
        <v/>
      </c>
      <c r="W132" s="116"/>
      <c r="X132" s="116"/>
      <c r="Y132" s="116"/>
      <c r="Z132" s="118" t="str">
        <f t="shared" ref="Z132:Z134" si="163">IFERROR(IF(AND(S131="Probabilidad",S132="Probabilidad"),(AB131-(+AB131*V132)),IF(AND(S131="Impacto",S132="Probabilidad"),(AB130-(+AB130*V132)),IF(S132="Impacto",AB131,""))),"")</f>
        <v/>
      </c>
      <c r="AA132" s="119" t="str">
        <f t="shared" si="158"/>
        <v/>
      </c>
      <c r="AB132" s="117" t="str">
        <f t="shared" si="159"/>
        <v/>
      </c>
      <c r="AC132" s="119" t="str">
        <f t="shared" si="160"/>
        <v/>
      </c>
      <c r="AD132" s="117" t="str">
        <f t="shared" ref="AD132:AD134" si="164">IFERROR(IF(AND(S131="Impacto",S132="Impacto"),(AD131-(+AD131*V132)),IF(AND(S131="Probabilidad",S132="Impacto"),(AD130-(+AD130*V132)),IF(S132="Probabilidad",AD131,""))),"")</f>
        <v/>
      </c>
      <c r="AE132" s="120" t="str">
        <f>IFERROR(IF(OR(AND(AA132="Muy Baja",AC132="Leve"),AND(AA132="Muy Baja",AC132="Menor"),AND(AA132="Baja",AC132="Leve")),"Bajo",IF(OR(AND(AA132="Muy baja",AC132="Moderado"),AND(AA132="Baja",AC132="Menor"),AND(AA132="Baja",AC132="Moderado"),AND(AA132="Media",AC132="Leve"),AND(AA132="Media",AC132="Menor"),AND(AA132="Media",AC132="Moderado"),AND(AA132="Alta",AC132="Leve"),AND(AA132="Alta",AC132="Menor")),"Moderado",IF(OR(AND(AA132="Muy Baja",AC132="Mayor"),AND(AA132="Baja",AC132="Mayor"),AND(AA132="Media",AC132="Mayor"),AND(AA132="Alta",AC132="Moderado"),AND(AA132="Alta",AC132="Mayor"),AND(AA132="Muy Alta",AC132="Leve"),AND(AA132="Muy Alta",AC132="Menor"),AND(AA132="Muy Alta",AC132="Moderado"),AND(AA132="Muy Alta",AC132="Mayor")),"Alto",IF(OR(AND(AA132="Muy Baja",AC132="Catastrófico"),AND(AA132="Baja",AC132="Catastrófico"),AND(AA132="Media",AC132="Catastrófico"),AND(AA132="Alta",AC132="Catastrófico"),AND(AA132="Muy Alta",AC132="Catastrófico")),"Extremo","")))),"")</f>
        <v/>
      </c>
      <c r="AF132" s="116"/>
      <c r="AG132" s="121"/>
      <c r="AH132" s="122"/>
      <c r="AI132" s="123"/>
      <c r="AJ132" s="123"/>
      <c r="AK132" s="121"/>
      <c r="AL132" s="122"/>
    </row>
    <row r="133" spans="1:38" x14ac:dyDescent="0.3">
      <c r="A133" s="222"/>
      <c r="B133" s="139"/>
      <c r="C133" s="139"/>
      <c r="D133" s="223"/>
      <c r="E133" s="213"/>
      <c r="F133" s="141"/>
      <c r="G133" s="223"/>
      <c r="H133" s="140"/>
      <c r="I133" s="224"/>
      <c r="J133" s="220"/>
      <c r="K133" s="219"/>
      <c r="L133" s="218"/>
      <c r="M133" s="219">
        <f ca="1">IF(NOT(ISERROR(MATCH(L133,_xlfn.ANCHORARRAY(E145),0))),K147&amp;"Por favor no seleccionar los criterios de impacto",L133)</f>
        <v>0</v>
      </c>
      <c r="N133" s="220"/>
      <c r="O133" s="219"/>
      <c r="P133" s="221"/>
      <c r="Q133" s="113">
        <v>5</v>
      </c>
      <c r="R133" s="114"/>
      <c r="S133" s="115" t="str">
        <f t="shared" si="162"/>
        <v/>
      </c>
      <c r="T133" s="116"/>
      <c r="U133" s="116"/>
      <c r="V133" s="117" t="str">
        <f t="shared" si="157"/>
        <v/>
      </c>
      <c r="W133" s="116"/>
      <c r="X133" s="116"/>
      <c r="Y133" s="116"/>
      <c r="Z133" s="118" t="str">
        <f t="shared" si="163"/>
        <v/>
      </c>
      <c r="AA133" s="119" t="str">
        <f t="shared" si="158"/>
        <v/>
      </c>
      <c r="AB133" s="117" t="str">
        <f t="shared" si="159"/>
        <v/>
      </c>
      <c r="AC133" s="119" t="str">
        <f t="shared" si="160"/>
        <v/>
      </c>
      <c r="AD133" s="117" t="str">
        <f t="shared" si="164"/>
        <v/>
      </c>
      <c r="AE133" s="120" t="str">
        <f t="shared" ref="AE133:AE134" si="165">IFERROR(IF(OR(AND(AA133="Muy Baja",AC133="Leve"),AND(AA133="Muy Baja",AC133="Menor"),AND(AA133="Baja",AC133="Leve")),"Bajo",IF(OR(AND(AA133="Muy baja",AC133="Moderado"),AND(AA133="Baja",AC133="Menor"),AND(AA133="Baja",AC133="Moderado"),AND(AA133="Media",AC133="Leve"),AND(AA133="Media",AC133="Menor"),AND(AA133="Media",AC133="Moderado"),AND(AA133="Alta",AC133="Leve"),AND(AA133="Alta",AC133="Menor")),"Moderado",IF(OR(AND(AA133="Muy Baja",AC133="Mayor"),AND(AA133="Baja",AC133="Mayor"),AND(AA133="Media",AC133="Mayor"),AND(AA133="Alta",AC133="Moderado"),AND(AA133="Alta",AC133="Mayor"),AND(AA133="Muy Alta",AC133="Leve"),AND(AA133="Muy Alta",AC133="Menor"),AND(AA133="Muy Alta",AC133="Moderado"),AND(AA133="Muy Alta",AC133="Mayor")),"Alto",IF(OR(AND(AA133="Muy Baja",AC133="Catastrófico"),AND(AA133="Baja",AC133="Catastrófico"),AND(AA133="Media",AC133="Catastrófico"),AND(AA133="Alta",AC133="Catastrófico"),AND(AA133="Muy Alta",AC133="Catastrófico")),"Extremo","")))),"")</f>
        <v/>
      </c>
      <c r="AF133" s="116"/>
      <c r="AG133" s="121"/>
      <c r="AH133" s="122"/>
      <c r="AI133" s="123"/>
      <c r="AJ133" s="123"/>
      <c r="AK133" s="121"/>
      <c r="AL133" s="122"/>
    </row>
    <row r="134" spans="1:38" x14ac:dyDescent="0.3">
      <c r="A134" s="222"/>
      <c r="B134" s="139"/>
      <c r="C134" s="139"/>
      <c r="D134" s="223"/>
      <c r="E134" s="213"/>
      <c r="F134" s="141"/>
      <c r="G134" s="223"/>
      <c r="H134" s="140"/>
      <c r="I134" s="224"/>
      <c r="J134" s="220"/>
      <c r="K134" s="219"/>
      <c r="L134" s="218"/>
      <c r="M134" s="219">
        <f ca="1">IF(NOT(ISERROR(MATCH(L134,_xlfn.ANCHORARRAY(E146),0))),K148&amp;"Por favor no seleccionar los criterios de impacto",L134)</f>
        <v>0</v>
      </c>
      <c r="N134" s="220"/>
      <c r="O134" s="219"/>
      <c r="P134" s="221"/>
      <c r="Q134" s="113">
        <v>6</v>
      </c>
      <c r="R134" s="114"/>
      <c r="S134" s="115" t="str">
        <f t="shared" si="162"/>
        <v/>
      </c>
      <c r="T134" s="116"/>
      <c r="U134" s="116"/>
      <c r="V134" s="117" t="str">
        <f t="shared" si="157"/>
        <v/>
      </c>
      <c r="W134" s="116"/>
      <c r="X134" s="116"/>
      <c r="Y134" s="116"/>
      <c r="Z134" s="118" t="str">
        <f t="shared" si="163"/>
        <v/>
      </c>
      <c r="AA134" s="119" t="str">
        <f t="shared" si="158"/>
        <v/>
      </c>
      <c r="AB134" s="117" t="str">
        <f t="shared" si="159"/>
        <v/>
      </c>
      <c r="AC134" s="119" t="str">
        <f t="shared" si="160"/>
        <v/>
      </c>
      <c r="AD134" s="117" t="str">
        <f t="shared" si="164"/>
        <v/>
      </c>
      <c r="AE134" s="120" t="str">
        <f t="shared" si="165"/>
        <v/>
      </c>
      <c r="AF134" s="116"/>
      <c r="AG134" s="121"/>
      <c r="AH134" s="122"/>
      <c r="AI134" s="123"/>
      <c r="AJ134" s="123"/>
      <c r="AK134" s="121"/>
      <c r="AL134" s="122"/>
    </row>
    <row r="135" spans="1:38" s="132" customFormat="1" x14ac:dyDescent="0.3">
      <c r="A135" s="131"/>
      <c r="B135" s="131"/>
      <c r="C135" s="131"/>
      <c r="D135" s="131"/>
      <c r="G135" s="133"/>
      <c r="H135" s="133"/>
    </row>
    <row r="136" spans="1:38" ht="30" customHeight="1" x14ac:dyDescent="0.3">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row>
    <row r="137" spans="1:38" s="135" customFormat="1" x14ac:dyDescent="0.3">
      <c r="A137" s="134"/>
      <c r="B137" s="134"/>
      <c r="C137" s="134"/>
      <c r="D137" s="134"/>
      <c r="G137" s="136"/>
      <c r="H137" s="136"/>
    </row>
  </sheetData>
  <autoFilter ref="A8:BR134"/>
  <dataConsolidate/>
  <mergeCells count="312">
    <mergeCell ref="N69:N74"/>
    <mergeCell ref="O69:O74"/>
    <mergeCell ref="P69:P74"/>
    <mergeCell ref="L63:L68"/>
    <mergeCell ref="M63:M68"/>
    <mergeCell ref="F15:F20"/>
    <mergeCell ref="H15:H20"/>
    <mergeCell ref="H21:H26"/>
    <mergeCell ref="F21:F26"/>
    <mergeCell ref="F27:F32"/>
    <mergeCell ref="H27:H32"/>
    <mergeCell ref="N63:N68"/>
    <mergeCell ref="N45:N50"/>
    <mergeCell ref="N39:N44"/>
    <mergeCell ref="L27:L32"/>
    <mergeCell ref="M27:M32"/>
    <mergeCell ref="N27:N32"/>
    <mergeCell ref="O27:O32"/>
    <mergeCell ref="P27:P32"/>
    <mergeCell ref="O39:O44"/>
    <mergeCell ref="P39:P44"/>
    <mergeCell ref="O45:O50"/>
    <mergeCell ref="P45:P50"/>
    <mergeCell ref="M15:M20"/>
    <mergeCell ref="A69:A74"/>
    <mergeCell ref="D69:D74"/>
    <mergeCell ref="E69:E74"/>
    <mergeCell ref="G69:G74"/>
    <mergeCell ref="I69:I74"/>
    <mergeCell ref="J69:J74"/>
    <mergeCell ref="K69:K74"/>
    <mergeCell ref="L69:L74"/>
    <mergeCell ref="M69:M74"/>
    <mergeCell ref="Q6:Y6"/>
    <mergeCell ref="Z6:AF6"/>
    <mergeCell ref="AG6:AL6"/>
    <mergeCell ref="O63:O68"/>
    <mergeCell ref="P63:P68"/>
    <mergeCell ref="C21:C26"/>
    <mergeCell ref="B21:B26"/>
    <mergeCell ref="B27:B32"/>
    <mergeCell ref="C27:C32"/>
    <mergeCell ref="D57:D62"/>
    <mergeCell ref="E57:E62"/>
    <mergeCell ref="D51:D56"/>
    <mergeCell ref="B33:B38"/>
    <mergeCell ref="C33:C38"/>
    <mergeCell ref="D33:D38"/>
    <mergeCell ref="E33:E38"/>
    <mergeCell ref="F33:F38"/>
    <mergeCell ref="G33:G38"/>
    <mergeCell ref="H33:H38"/>
    <mergeCell ref="I33:I38"/>
    <mergeCell ref="J33:J38"/>
    <mergeCell ref="K33:K38"/>
    <mergeCell ref="L33:L38"/>
    <mergeCell ref="M33:M38"/>
    <mergeCell ref="A63:A68"/>
    <mergeCell ref="D63:D68"/>
    <mergeCell ref="E63:E68"/>
    <mergeCell ref="G63:G68"/>
    <mergeCell ref="I63:I68"/>
    <mergeCell ref="J63:J68"/>
    <mergeCell ref="K63:K68"/>
    <mergeCell ref="A6:I6"/>
    <mergeCell ref="J6:P6"/>
    <mergeCell ref="A57:A62"/>
    <mergeCell ref="A51:A56"/>
    <mergeCell ref="A33:A38"/>
    <mergeCell ref="N33:N38"/>
    <mergeCell ref="O33:O38"/>
    <mergeCell ref="P33:P38"/>
    <mergeCell ref="E51:E56"/>
    <mergeCell ref="O51:O56"/>
    <mergeCell ref="P51:P56"/>
    <mergeCell ref="G57:G62"/>
    <mergeCell ref="I57:I62"/>
    <mergeCell ref="J57:J62"/>
    <mergeCell ref="K57:K62"/>
    <mergeCell ref="L57:L62"/>
    <mergeCell ref="G51:G56"/>
    <mergeCell ref="I51:I56"/>
    <mergeCell ref="J51:J56"/>
    <mergeCell ref="K51:K56"/>
    <mergeCell ref="M57:M62"/>
    <mergeCell ref="N57:N62"/>
    <mergeCell ref="O57:O62"/>
    <mergeCell ref="P57:P62"/>
    <mergeCell ref="L51:L56"/>
    <mergeCell ref="M51:M56"/>
    <mergeCell ref="N51:N56"/>
    <mergeCell ref="A45:A50"/>
    <mergeCell ref="D45:D50"/>
    <mergeCell ref="E45:E50"/>
    <mergeCell ref="G45:G50"/>
    <mergeCell ref="D39:D44"/>
    <mergeCell ref="E39:E44"/>
    <mergeCell ref="L45:L50"/>
    <mergeCell ref="M45:M50"/>
    <mergeCell ref="G39:G44"/>
    <mergeCell ref="I39:I44"/>
    <mergeCell ref="J39:J44"/>
    <mergeCell ref="L39:L44"/>
    <mergeCell ref="I45:I50"/>
    <mergeCell ref="J45:J50"/>
    <mergeCell ref="K45:K50"/>
    <mergeCell ref="M39:M44"/>
    <mergeCell ref="N15:N20"/>
    <mergeCell ref="O15:O20"/>
    <mergeCell ref="P15:P20"/>
    <mergeCell ref="A21:A26"/>
    <mergeCell ref="D21:D26"/>
    <mergeCell ref="E21:E26"/>
    <mergeCell ref="G21:G26"/>
    <mergeCell ref="I21:I26"/>
    <mergeCell ref="J21:J26"/>
    <mergeCell ref="K21:K26"/>
    <mergeCell ref="L21:L26"/>
    <mergeCell ref="M21:M26"/>
    <mergeCell ref="N21:N26"/>
    <mergeCell ref="G15:G20"/>
    <mergeCell ref="I15:I20"/>
    <mergeCell ref="J15:J20"/>
    <mergeCell ref="K15:K20"/>
    <mergeCell ref="L15:L20"/>
    <mergeCell ref="A15:A20"/>
    <mergeCell ref="O21:O26"/>
    <mergeCell ref="P21:P26"/>
    <mergeCell ref="AG7:AG8"/>
    <mergeCell ref="AL7:AL8"/>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K7:K8"/>
    <mergeCell ref="N7:N8"/>
    <mergeCell ref="O7:O8"/>
    <mergeCell ref="P7:P8"/>
    <mergeCell ref="L7:L8"/>
    <mergeCell ref="M7:M8"/>
    <mergeCell ref="P9:P14"/>
    <mergeCell ref="K9:K14"/>
    <mergeCell ref="L9:L14"/>
    <mergeCell ref="M9:M14"/>
    <mergeCell ref="N9:N14"/>
    <mergeCell ref="O9:O14"/>
    <mergeCell ref="AC7:AC8"/>
    <mergeCell ref="AA7:AA8"/>
    <mergeCell ref="AB7:AB8"/>
    <mergeCell ref="S7:S8"/>
    <mergeCell ref="T7:Y7"/>
    <mergeCell ref="G9:G14"/>
    <mergeCell ref="I9:I14"/>
    <mergeCell ref="J9:J14"/>
    <mergeCell ref="A9:A14"/>
    <mergeCell ref="D9:D14"/>
    <mergeCell ref="E9:E14"/>
    <mergeCell ref="D15:D20"/>
    <mergeCell ref="E15:E20"/>
    <mergeCell ref="K39:K44"/>
    <mergeCell ref="C9:C14"/>
    <mergeCell ref="B9:B14"/>
    <mergeCell ref="C15:C20"/>
    <mergeCell ref="B15:B20"/>
    <mergeCell ref="A27:A32"/>
    <mergeCell ref="D27:D32"/>
    <mergeCell ref="E27:E32"/>
    <mergeCell ref="G27:G32"/>
    <mergeCell ref="I27:I32"/>
    <mergeCell ref="J27:J32"/>
    <mergeCell ref="K27:K32"/>
    <mergeCell ref="A39:A44"/>
    <mergeCell ref="L75:L80"/>
    <mergeCell ref="M75:M80"/>
    <mergeCell ref="N75:N80"/>
    <mergeCell ref="O75:O80"/>
    <mergeCell ref="P75:P80"/>
    <mergeCell ref="A81:A86"/>
    <mergeCell ref="D81:D86"/>
    <mergeCell ref="E81:E86"/>
    <mergeCell ref="G81:G86"/>
    <mergeCell ref="I81:I86"/>
    <mergeCell ref="J81:J86"/>
    <mergeCell ref="K81:K86"/>
    <mergeCell ref="L81:L86"/>
    <mergeCell ref="M81:M86"/>
    <mergeCell ref="N81:N86"/>
    <mergeCell ref="O81:O86"/>
    <mergeCell ref="P81:P86"/>
    <mergeCell ref="A75:A80"/>
    <mergeCell ref="D75:D80"/>
    <mergeCell ref="E75:E80"/>
    <mergeCell ref="G75:G80"/>
    <mergeCell ref="I75:I80"/>
    <mergeCell ref="J75:J80"/>
    <mergeCell ref="K75:K80"/>
    <mergeCell ref="A93:A98"/>
    <mergeCell ref="D93:D98"/>
    <mergeCell ref="E93:E98"/>
    <mergeCell ref="G93:G98"/>
    <mergeCell ref="I93:I98"/>
    <mergeCell ref="J93:J98"/>
    <mergeCell ref="K93:K98"/>
    <mergeCell ref="A87:A92"/>
    <mergeCell ref="D87:D92"/>
    <mergeCell ref="E87:E92"/>
    <mergeCell ref="G87:G92"/>
    <mergeCell ref="I87:I92"/>
    <mergeCell ref="J87:J92"/>
    <mergeCell ref="K87:K92"/>
    <mergeCell ref="O87:O92"/>
    <mergeCell ref="P87:P92"/>
    <mergeCell ref="L93:L98"/>
    <mergeCell ref="M93:M98"/>
    <mergeCell ref="N93:N98"/>
    <mergeCell ref="O93:O98"/>
    <mergeCell ref="P93:P98"/>
    <mergeCell ref="M99:M104"/>
    <mergeCell ref="N99:N104"/>
    <mergeCell ref="O99:O104"/>
    <mergeCell ref="P99:P104"/>
    <mergeCell ref="K105:K110"/>
    <mergeCell ref="G99:G104"/>
    <mergeCell ref="I99:I104"/>
    <mergeCell ref="J99:J104"/>
    <mergeCell ref="K99:K104"/>
    <mergeCell ref="L99:L104"/>
    <mergeCell ref="L87:L92"/>
    <mergeCell ref="M87:M92"/>
    <mergeCell ref="N87:N92"/>
    <mergeCell ref="M105:M110"/>
    <mergeCell ref="N105:N110"/>
    <mergeCell ref="A99:A104"/>
    <mergeCell ref="D99:D104"/>
    <mergeCell ref="E99:E104"/>
    <mergeCell ref="A105:A110"/>
    <mergeCell ref="D105:D110"/>
    <mergeCell ref="E105:E110"/>
    <mergeCell ref="G105:G110"/>
    <mergeCell ref="I105:I110"/>
    <mergeCell ref="J105:J110"/>
    <mergeCell ref="I117:I122"/>
    <mergeCell ref="J117:J122"/>
    <mergeCell ref="K117:K122"/>
    <mergeCell ref="L117:L122"/>
    <mergeCell ref="M117:M122"/>
    <mergeCell ref="A111:A116"/>
    <mergeCell ref="D111:D116"/>
    <mergeCell ref="E111:E116"/>
    <mergeCell ref="G111:G116"/>
    <mergeCell ref="I111:I116"/>
    <mergeCell ref="J111:J116"/>
    <mergeCell ref="O105:O110"/>
    <mergeCell ref="P105:P110"/>
    <mergeCell ref="A129:A134"/>
    <mergeCell ref="D129:D134"/>
    <mergeCell ref="E129:E134"/>
    <mergeCell ref="G129:G134"/>
    <mergeCell ref="I129:I134"/>
    <mergeCell ref="J129:J134"/>
    <mergeCell ref="K129:K134"/>
    <mergeCell ref="L129:L134"/>
    <mergeCell ref="M129:M134"/>
    <mergeCell ref="A123:A128"/>
    <mergeCell ref="D123:D128"/>
    <mergeCell ref="E123:E128"/>
    <mergeCell ref="G123:G128"/>
    <mergeCell ref="I123:I128"/>
    <mergeCell ref="J123:J128"/>
    <mergeCell ref="K123:K128"/>
    <mergeCell ref="L111:L116"/>
    <mergeCell ref="M111:M116"/>
    <mergeCell ref="A117:A122"/>
    <mergeCell ref="D117:D122"/>
    <mergeCell ref="E117:E122"/>
    <mergeCell ref="G117:G122"/>
    <mergeCell ref="A1:AL1"/>
    <mergeCell ref="A2:AL2"/>
    <mergeCell ref="A3:AL3"/>
    <mergeCell ref="A4:AL4"/>
    <mergeCell ref="H7:H8"/>
    <mergeCell ref="F9:F14"/>
    <mergeCell ref="H9:H14"/>
    <mergeCell ref="D136:AL136"/>
    <mergeCell ref="L123:L128"/>
    <mergeCell ref="M123:M128"/>
    <mergeCell ref="N123:N128"/>
    <mergeCell ref="O123:O128"/>
    <mergeCell ref="P123:P128"/>
    <mergeCell ref="N129:N134"/>
    <mergeCell ref="O129:O134"/>
    <mergeCell ref="P129:P134"/>
    <mergeCell ref="N111:N116"/>
    <mergeCell ref="O111:O116"/>
    <mergeCell ref="P111:P116"/>
    <mergeCell ref="N117:N122"/>
    <mergeCell ref="O117:O122"/>
    <mergeCell ref="P117:P122"/>
    <mergeCell ref="K111:K116"/>
    <mergeCell ref="L105:L110"/>
  </mergeCells>
  <phoneticPr fontId="61" type="noConversion"/>
  <conditionalFormatting sqref="J15">
    <cfRule type="cellIs" dxfId="505" priority="595" operator="equal">
      <formula>"Muy Alta"</formula>
    </cfRule>
    <cfRule type="cellIs" dxfId="504" priority="596" operator="equal">
      <formula>"Alta"</formula>
    </cfRule>
    <cfRule type="cellIs" dxfId="503" priority="597" operator="equal">
      <formula>"Media"</formula>
    </cfRule>
    <cfRule type="cellIs" dxfId="502" priority="598" operator="equal">
      <formula>"Baja"</formula>
    </cfRule>
    <cfRule type="cellIs" dxfId="501" priority="599" operator="equal">
      <formula>"Muy Baja"</formula>
    </cfRule>
  </conditionalFormatting>
  <conditionalFormatting sqref="N15 N21 N27 N39 N45 N51 N57 N63 N69">
    <cfRule type="cellIs" dxfId="500" priority="590" operator="equal">
      <formula>"Catastrófico"</formula>
    </cfRule>
    <cfRule type="cellIs" dxfId="499" priority="591" operator="equal">
      <formula>"Mayor"</formula>
    </cfRule>
    <cfRule type="cellIs" dxfId="498" priority="592" operator="equal">
      <formula>"Moderado"</formula>
    </cfRule>
    <cfRule type="cellIs" dxfId="497" priority="593" operator="equal">
      <formula>"Menor"</formula>
    </cfRule>
    <cfRule type="cellIs" dxfId="496" priority="594" operator="equal">
      <formula>"Leve"</formula>
    </cfRule>
  </conditionalFormatting>
  <conditionalFormatting sqref="AA9:AA14">
    <cfRule type="cellIs" dxfId="495" priority="581" operator="equal">
      <formula>"Muy Alta"</formula>
    </cfRule>
    <cfRule type="cellIs" dxfId="494" priority="582" operator="equal">
      <formula>"Alta"</formula>
    </cfRule>
    <cfRule type="cellIs" dxfId="493" priority="583" operator="equal">
      <formula>"Media"</formula>
    </cfRule>
    <cfRule type="cellIs" dxfId="492" priority="584" operator="equal">
      <formula>"Baja"</formula>
    </cfRule>
    <cfRule type="cellIs" dxfId="491" priority="585" operator="equal">
      <formula>"Muy Baja"</formula>
    </cfRule>
  </conditionalFormatting>
  <conditionalFormatting sqref="AC9:AC14">
    <cfRule type="cellIs" dxfId="490" priority="576" operator="equal">
      <formula>"Catastrófico"</formula>
    </cfRule>
    <cfRule type="cellIs" dxfId="489" priority="577" operator="equal">
      <formula>"Mayor"</formula>
    </cfRule>
    <cfRule type="cellIs" dxfId="488" priority="578" operator="equal">
      <formula>"Moderado"</formula>
    </cfRule>
    <cfRule type="cellIs" dxfId="487" priority="579" operator="equal">
      <formula>"Menor"</formula>
    </cfRule>
    <cfRule type="cellIs" dxfId="486" priority="580" operator="equal">
      <formula>"Leve"</formula>
    </cfRule>
  </conditionalFormatting>
  <conditionalFormatting sqref="AE9:AE14">
    <cfRule type="cellIs" dxfId="485" priority="572" operator="equal">
      <formula>"Extremo"</formula>
    </cfRule>
    <cfRule type="cellIs" dxfId="484" priority="573" operator="equal">
      <formula>"Alto"</formula>
    </cfRule>
    <cfRule type="cellIs" dxfId="483" priority="574" operator="equal">
      <formula>"Moderado"</formula>
    </cfRule>
    <cfRule type="cellIs" dxfId="482" priority="575" operator="equal">
      <formula>"Bajo"</formula>
    </cfRule>
  </conditionalFormatting>
  <conditionalFormatting sqref="J63">
    <cfRule type="cellIs" dxfId="481" priority="329" operator="equal">
      <formula>"Muy Alta"</formula>
    </cfRule>
    <cfRule type="cellIs" dxfId="480" priority="330" operator="equal">
      <formula>"Alta"</formula>
    </cfRule>
    <cfRule type="cellIs" dxfId="479" priority="331" operator="equal">
      <formula>"Media"</formula>
    </cfRule>
    <cfRule type="cellIs" dxfId="478" priority="332" operator="equal">
      <formula>"Baja"</formula>
    </cfRule>
    <cfRule type="cellIs" dxfId="477" priority="333" operator="equal">
      <formula>"Muy Baja"</formula>
    </cfRule>
  </conditionalFormatting>
  <conditionalFormatting sqref="P15">
    <cfRule type="cellIs" dxfId="476" priority="516" operator="equal">
      <formula>"Extremo"</formula>
    </cfRule>
    <cfRule type="cellIs" dxfId="475" priority="517" operator="equal">
      <formula>"Alto"</formula>
    </cfRule>
    <cfRule type="cellIs" dxfId="474" priority="518" operator="equal">
      <formula>"Moderado"</formula>
    </cfRule>
    <cfRule type="cellIs" dxfId="473" priority="519" operator="equal">
      <formula>"Bajo"</formula>
    </cfRule>
  </conditionalFormatting>
  <conditionalFormatting sqref="AA15:AA20">
    <cfRule type="cellIs" dxfId="472" priority="511" operator="equal">
      <formula>"Muy Alta"</formula>
    </cfRule>
    <cfRule type="cellIs" dxfId="471" priority="512" operator="equal">
      <formula>"Alta"</formula>
    </cfRule>
    <cfRule type="cellIs" dxfId="470" priority="513" operator="equal">
      <formula>"Media"</formula>
    </cfRule>
    <cfRule type="cellIs" dxfId="469" priority="514" operator="equal">
      <formula>"Baja"</formula>
    </cfRule>
    <cfRule type="cellIs" dxfId="468" priority="515" operator="equal">
      <formula>"Muy Baja"</formula>
    </cfRule>
  </conditionalFormatting>
  <conditionalFormatting sqref="AC15:AC20">
    <cfRule type="cellIs" dxfId="467" priority="506" operator="equal">
      <formula>"Catastrófico"</formula>
    </cfRule>
    <cfRule type="cellIs" dxfId="466" priority="507" operator="equal">
      <formula>"Mayor"</formula>
    </cfRule>
    <cfRule type="cellIs" dxfId="465" priority="508" operator="equal">
      <formula>"Moderado"</formula>
    </cfRule>
    <cfRule type="cellIs" dxfId="464" priority="509" operator="equal">
      <formula>"Menor"</formula>
    </cfRule>
    <cfRule type="cellIs" dxfId="463" priority="510" operator="equal">
      <formula>"Leve"</formula>
    </cfRule>
  </conditionalFormatting>
  <conditionalFormatting sqref="AE15:AE20">
    <cfRule type="cellIs" dxfId="462" priority="502" operator="equal">
      <formula>"Extremo"</formula>
    </cfRule>
    <cfRule type="cellIs" dxfId="461" priority="503" operator="equal">
      <formula>"Alto"</formula>
    </cfRule>
    <cfRule type="cellIs" dxfId="460" priority="504" operator="equal">
      <formula>"Moderado"</formula>
    </cfRule>
    <cfRule type="cellIs" dxfId="459" priority="505" operator="equal">
      <formula>"Bajo"</formula>
    </cfRule>
  </conditionalFormatting>
  <conditionalFormatting sqref="J21">
    <cfRule type="cellIs" dxfId="458" priority="497" operator="equal">
      <formula>"Muy Alta"</formula>
    </cfRule>
    <cfRule type="cellIs" dxfId="457" priority="498" operator="equal">
      <formula>"Alta"</formula>
    </cfRule>
    <cfRule type="cellIs" dxfId="456" priority="499" operator="equal">
      <formula>"Media"</formula>
    </cfRule>
    <cfRule type="cellIs" dxfId="455" priority="500" operator="equal">
      <formula>"Baja"</formula>
    </cfRule>
    <cfRule type="cellIs" dxfId="454" priority="501" operator="equal">
      <formula>"Muy Baja"</formula>
    </cfRule>
  </conditionalFormatting>
  <conditionalFormatting sqref="P21">
    <cfRule type="cellIs" dxfId="453" priority="488" operator="equal">
      <formula>"Extremo"</formula>
    </cfRule>
    <cfRule type="cellIs" dxfId="452" priority="489" operator="equal">
      <formula>"Alto"</formula>
    </cfRule>
    <cfRule type="cellIs" dxfId="451" priority="490" operator="equal">
      <formula>"Moderado"</formula>
    </cfRule>
    <cfRule type="cellIs" dxfId="450" priority="491" operator="equal">
      <formula>"Bajo"</formula>
    </cfRule>
  </conditionalFormatting>
  <conditionalFormatting sqref="AA21:AA26">
    <cfRule type="cellIs" dxfId="449" priority="483" operator="equal">
      <formula>"Muy Alta"</formula>
    </cfRule>
    <cfRule type="cellIs" dxfId="448" priority="484" operator="equal">
      <formula>"Alta"</formula>
    </cfRule>
    <cfRule type="cellIs" dxfId="447" priority="485" operator="equal">
      <formula>"Media"</formula>
    </cfRule>
    <cfRule type="cellIs" dxfId="446" priority="486" operator="equal">
      <formula>"Baja"</formula>
    </cfRule>
    <cfRule type="cellIs" dxfId="445" priority="487" operator="equal">
      <formula>"Muy Baja"</formula>
    </cfRule>
  </conditionalFormatting>
  <conditionalFormatting sqref="AC21:AC26">
    <cfRule type="cellIs" dxfId="444" priority="478" operator="equal">
      <formula>"Catastrófico"</formula>
    </cfRule>
    <cfRule type="cellIs" dxfId="443" priority="479" operator="equal">
      <formula>"Mayor"</formula>
    </cfRule>
    <cfRule type="cellIs" dxfId="442" priority="480" operator="equal">
      <formula>"Moderado"</formula>
    </cfRule>
    <cfRule type="cellIs" dxfId="441" priority="481" operator="equal">
      <formula>"Menor"</formula>
    </cfRule>
    <cfRule type="cellIs" dxfId="440" priority="482" operator="equal">
      <formula>"Leve"</formula>
    </cfRule>
  </conditionalFormatting>
  <conditionalFormatting sqref="AE21:AE26">
    <cfRule type="cellIs" dxfId="439" priority="474" operator="equal">
      <formula>"Extremo"</formula>
    </cfRule>
    <cfRule type="cellIs" dxfId="438" priority="475" operator="equal">
      <formula>"Alto"</formula>
    </cfRule>
    <cfRule type="cellIs" dxfId="437" priority="476" operator="equal">
      <formula>"Moderado"</formula>
    </cfRule>
    <cfRule type="cellIs" dxfId="436" priority="477" operator="equal">
      <formula>"Bajo"</formula>
    </cfRule>
  </conditionalFormatting>
  <conditionalFormatting sqref="J27">
    <cfRule type="cellIs" dxfId="435" priority="469" operator="equal">
      <formula>"Muy Alta"</formula>
    </cfRule>
    <cfRule type="cellIs" dxfId="434" priority="470" operator="equal">
      <formula>"Alta"</formula>
    </cfRule>
    <cfRule type="cellIs" dxfId="433" priority="471" operator="equal">
      <formula>"Media"</formula>
    </cfRule>
    <cfRule type="cellIs" dxfId="432" priority="472" operator="equal">
      <formula>"Baja"</formula>
    </cfRule>
    <cfRule type="cellIs" dxfId="431" priority="473" operator="equal">
      <formula>"Muy Baja"</formula>
    </cfRule>
  </conditionalFormatting>
  <conditionalFormatting sqref="P27">
    <cfRule type="cellIs" dxfId="430" priority="460" operator="equal">
      <formula>"Extremo"</formula>
    </cfRule>
    <cfRule type="cellIs" dxfId="429" priority="461" operator="equal">
      <formula>"Alto"</formula>
    </cfRule>
    <cfRule type="cellIs" dxfId="428" priority="462" operator="equal">
      <formula>"Moderado"</formula>
    </cfRule>
    <cfRule type="cellIs" dxfId="427" priority="463" operator="equal">
      <formula>"Bajo"</formula>
    </cfRule>
  </conditionalFormatting>
  <conditionalFormatting sqref="AA27:AA32">
    <cfRule type="cellIs" dxfId="426" priority="455" operator="equal">
      <formula>"Muy Alta"</formula>
    </cfRule>
    <cfRule type="cellIs" dxfId="425" priority="456" operator="equal">
      <formula>"Alta"</formula>
    </cfRule>
    <cfRule type="cellIs" dxfId="424" priority="457" operator="equal">
      <formula>"Media"</formula>
    </cfRule>
    <cfRule type="cellIs" dxfId="423" priority="458" operator="equal">
      <formula>"Baja"</formula>
    </cfRule>
    <cfRule type="cellIs" dxfId="422" priority="459" operator="equal">
      <formula>"Muy Baja"</formula>
    </cfRule>
  </conditionalFormatting>
  <conditionalFormatting sqref="AC27:AC32">
    <cfRule type="cellIs" dxfId="421" priority="450" operator="equal">
      <formula>"Catastrófico"</formula>
    </cfRule>
    <cfRule type="cellIs" dxfId="420" priority="451" operator="equal">
      <formula>"Mayor"</formula>
    </cfRule>
    <cfRule type="cellIs" dxfId="419" priority="452" operator="equal">
      <formula>"Moderado"</formula>
    </cfRule>
    <cfRule type="cellIs" dxfId="418" priority="453" operator="equal">
      <formula>"Menor"</formula>
    </cfRule>
    <cfRule type="cellIs" dxfId="417" priority="454" operator="equal">
      <formula>"Leve"</formula>
    </cfRule>
  </conditionalFormatting>
  <conditionalFormatting sqref="AE27:AE32">
    <cfRule type="cellIs" dxfId="416" priority="446" operator="equal">
      <formula>"Extremo"</formula>
    </cfRule>
    <cfRule type="cellIs" dxfId="415" priority="447" operator="equal">
      <formula>"Alto"</formula>
    </cfRule>
    <cfRule type="cellIs" dxfId="414" priority="448" operator="equal">
      <formula>"Moderado"</formula>
    </cfRule>
    <cfRule type="cellIs" dxfId="413" priority="449" operator="equal">
      <formula>"Bajo"</formula>
    </cfRule>
  </conditionalFormatting>
  <conditionalFormatting sqref="J39">
    <cfRule type="cellIs" dxfId="412" priority="441" operator="equal">
      <formula>"Muy Alta"</formula>
    </cfRule>
    <cfRule type="cellIs" dxfId="411" priority="442" operator="equal">
      <formula>"Alta"</formula>
    </cfRule>
    <cfRule type="cellIs" dxfId="410" priority="443" operator="equal">
      <formula>"Media"</formula>
    </cfRule>
    <cfRule type="cellIs" dxfId="409" priority="444" operator="equal">
      <formula>"Baja"</formula>
    </cfRule>
    <cfRule type="cellIs" dxfId="408" priority="445" operator="equal">
      <formula>"Muy Baja"</formula>
    </cfRule>
  </conditionalFormatting>
  <conditionalFormatting sqref="P39">
    <cfRule type="cellIs" dxfId="407" priority="432" operator="equal">
      <formula>"Extremo"</formula>
    </cfRule>
    <cfRule type="cellIs" dxfId="406" priority="433" operator="equal">
      <formula>"Alto"</formula>
    </cfRule>
    <cfRule type="cellIs" dxfId="405" priority="434" operator="equal">
      <formula>"Moderado"</formula>
    </cfRule>
    <cfRule type="cellIs" dxfId="404" priority="435" operator="equal">
      <formula>"Bajo"</formula>
    </cfRule>
  </conditionalFormatting>
  <conditionalFormatting sqref="AA39:AA44">
    <cfRule type="cellIs" dxfId="403" priority="427" operator="equal">
      <formula>"Muy Alta"</formula>
    </cfRule>
    <cfRule type="cellIs" dxfId="402" priority="428" operator="equal">
      <formula>"Alta"</formula>
    </cfRule>
    <cfRule type="cellIs" dxfId="401" priority="429" operator="equal">
      <formula>"Media"</formula>
    </cfRule>
    <cfRule type="cellIs" dxfId="400" priority="430" operator="equal">
      <formula>"Baja"</formula>
    </cfRule>
    <cfRule type="cellIs" dxfId="399" priority="431" operator="equal">
      <formula>"Muy Baja"</formula>
    </cfRule>
  </conditionalFormatting>
  <conditionalFormatting sqref="AC39:AC44">
    <cfRule type="cellIs" dxfId="398" priority="422" operator="equal">
      <formula>"Catastrófico"</formula>
    </cfRule>
    <cfRule type="cellIs" dxfId="397" priority="423" operator="equal">
      <formula>"Mayor"</formula>
    </cfRule>
    <cfRule type="cellIs" dxfId="396" priority="424" operator="equal">
      <formula>"Moderado"</formula>
    </cfRule>
    <cfRule type="cellIs" dxfId="395" priority="425" operator="equal">
      <formula>"Menor"</formula>
    </cfRule>
    <cfRule type="cellIs" dxfId="394" priority="426" operator="equal">
      <formula>"Leve"</formula>
    </cfRule>
  </conditionalFormatting>
  <conditionalFormatting sqref="AE39:AE44">
    <cfRule type="cellIs" dxfId="393" priority="418" operator="equal">
      <formula>"Extremo"</formula>
    </cfRule>
    <cfRule type="cellIs" dxfId="392" priority="419" operator="equal">
      <formula>"Alto"</formula>
    </cfRule>
    <cfRule type="cellIs" dxfId="391" priority="420" operator="equal">
      <formula>"Moderado"</formula>
    </cfRule>
    <cfRule type="cellIs" dxfId="390" priority="421" operator="equal">
      <formula>"Bajo"</formula>
    </cfRule>
  </conditionalFormatting>
  <conditionalFormatting sqref="J45">
    <cfRule type="cellIs" dxfId="389" priority="413" operator="equal">
      <formula>"Muy Alta"</formula>
    </cfRule>
    <cfRule type="cellIs" dxfId="388" priority="414" operator="equal">
      <formula>"Alta"</formula>
    </cfRule>
    <cfRule type="cellIs" dxfId="387" priority="415" operator="equal">
      <formula>"Media"</formula>
    </cfRule>
    <cfRule type="cellIs" dxfId="386" priority="416" operator="equal">
      <formula>"Baja"</formula>
    </cfRule>
    <cfRule type="cellIs" dxfId="385" priority="417" operator="equal">
      <formula>"Muy Baja"</formula>
    </cfRule>
  </conditionalFormatting>
  <conditionalFormatting sqref="P45">
    <cfRule type="cellIs" dxfId="384" priority="404" operator="equal">
      <formula>"Extremo"</formula>
    </cfRule>
    <cfRule type="cellIs" dxfId="383" priority="405" operator="equal">
      <formula>"Alto"</formula>
    </cfRule>
    <cfRule type="cellIs" dxfId="382" priority="406" operator="equal">
      <formula>"Moderado"</formula>
    </cfRule>
    <cfRule type="cellIs" dxfId="381" priority="407" operator="equal">
      <formula>"Bajo"</formula>
    </cfRule>
  </conditionalFormatting>
  <conditionalFormatting sqref="AA45:AA50">
    <cfRule type="cellIs" dxfId="380" priority="399" operator="equal">
      <formula>"Muy Alta"</formula>
    </cfRule>
    <cfRule type="cellIs" dxfId="379" priority="400" operator="equal">
      <formula>"Alta"</formula>
    </cfRule>
    <cfRule type="cellIs" dxfId="378" priority="401" operator="equal">
      <formula>"Media"</formula>
    </cfRule>
    <cfRule type="cellIs" dxfId="377" priority="402" operator="equal">
      <formula>"Baja"</formula>
    </cfRule>
    <cfRule type="cellIs" dxfId="376" priority="403" operator="equal">
      <formula>"Muy Baja"</formula>
    </cfRule>
  </conditionalFormatting>
  <conditionalFormatting sqref="AC45:AC50">
    <cfRule type="cellIs" dxfId="375" priority="394" operator="equal">
      <formula>"Catastrófico"</formula>
    </cfRule>
    <cfRule type="cellIs" dxfId="374" priority="395" operator="equal">
      <formula>"Mayor"</formula>
    </cfRule>
    <cfRule type="cellIs" dxfId="373" priority="396" operator="equal">
      <formula>"Moderado"</formula>
    </cfRule>
    <cfRule type="cellIs" dxfId="372" priority="397" operator="equal">
      <formula>"Menor"</formula>
    </cfRule>
    <cfRule type="cellIs" dxfId="371" priority="398" operator="equal">
      <formula>"Leve"</formula>
    </cfRule>
  </conditionalFormatting>
  <conditionalFormatting sqref="AE45:AE50">
    <cfRule type="cellIs" dxfId="370" priority="390" operator="equal">
      <formula>"Extremo"</formula>
    </cfRule>
    <cfRule type="cellIs" dxfId="369" priority="391" operator="equal">
      <formula>"Alto"</formula>
    </cfRule>
    <cfRule type="cellIs" dxfId="368" priority="392" operator="equal">
      <formula>"Moderado"</formula>
    </cfRule>
    <cfRule type="cellIs" dxfId="367" priority="393" operator="equal">
      <formula>"Bajo"</formula>
    </cfRule>
  </conditionalFormatting>
  <conditionalFormatting sqref="J51">
    <cfRule type="cellIs" dxfId="366" priority="385" operator="equal">
      <formula>"Muy Alta"</formula>
    </cfRule>
    <cfRule type="cellIs" dxfId="365" priority="386" operator="equal">
      <formula>"Alta"</formula>
    </cfRule>
    <cfRule type="cellIs" dxfId="364" priority="387" operator="equal">
      <formula>"Media"</formula>
    </cfRule>
    <cfRule type="cellIs" dxfId="363" priority="388" operator="equal">
      <formula>"Baja"</formula>
    </cfRule>
    <cfRule type="cellIs" dxfId="362" priority="389" operator="equal">
      <formula>"Muy Baja"</formula>
    </cfRule>
  </conditionalFormatting>
  <conditionalFormatting sqref="P51">
    <cfRule type="cellIs" dxfId="361" priority="376" operator="equal">
      <formula>"Extremo"</formula>
    </cfRule>
    <cfRule type="cellIs" dxfId="360" priority="377" operator="equal">
      <formula>"Alto"</formula>
    </cfRule>
    <cfRule type="cellIs" dxfId="359" priority="378" operator="equal">
      <formula>"Moderado"</formula>
    </cfRule>
    <cfRule type="cellIs" dxfId="358" priority="379" operator="equal">
      <formula>"Bajo"</formula>
    </cfRule>
  </conditionalFormatting>
  <conditionalFormatting sqref="AA51:AA56">
    <cfRule type="cellIs" dxfId="357" priority="371" operator="equal">
      <formula>"Muy Alta"</formula>
    </cfRule>
    <cfRule type="cellIs" dxfId="356" priority="372" operator="equal">
      <formula>"Alta"</formula>
    </cfRule>
    <cfRule type="cellIs" dxfId="355" priority="373" operator="equal">
      <formula>"Media"</formula>
    </cfRule>
    <cfRule type="cellIs" dxfId="354" priority="374" operator="equal">
      <formula>"Baja"</formula>
    </cfRule>
    <cfRule type="cellIs" dxfId="353" priority="375" operator="equal">
      <formula>"Muy Baja"</formula>
    </cfRule>
  </conditionalFormatting>
  <conditionalFormatting sqref="AC51:AC56">
    <cfRule type="cellIs" dxfId="352" priority="366" operator="equal">
      <formula>"Catastrófico"</formula>
    </cfRule>
    <cfRule type="cellIs" dxfId="351" priority="367" operator="equal">
      <formula>"Mayor"</formula>
    </cfRule>
    <cfRule type="cellIs" dxfId="350" priority="368" operator="equal">
      <formula>"Moderado"</formula>
    </cfRule>
    <cfRule type="cellIs" dxfId="349" priority="369" operator="equal">
      <formula>"Menor"</formula>
    </cfRule>
    <cfRule type="cellIs" dxfId="348" priority="370" operator="equal">
      <formula>"Leve"</formula>
    </cfRule>
  </conditionalFormatting>
  <conditionalFormatting sqref="AE51:AE56">
    <cfRule type="cellIs" dxfId="347" priority="362" operator="equal">
      <formula>"Extremo"</formula>
    </cfRule>
    <cfRule type="cellIs" dxfId="346" priority="363" operator="equal">
      <formula>"Alto"</formula>
    </cfRule>
    <cfRule type="cellIs" dxfId="345" priority="364" operator="equal">
      <formula>"Moderado"</formula>
    </cfRule>
    <cfRule type="cellIs" dxfId="344" priority="365" operator="equal">
      <formula>"Bajo"</formula>
    </cfRule>
  </conditionalFormatting>
  <conditionalFormatting sqref="J57">
    <cfRule type="cellIs" dxfId="343" priority="357" operator="equal">
      <formula>"Muy Alta"</formula>
    </cfRule>
    <cfRule type="cellIs" dxfId="342" priority="358" operator="equal">
      <formula>"Alta"</formula>
    </cfRule>
    <cfRule type="cellIs" dxfId="341" priority="359" operator="equal">
      <formula>"Media"</formula>
    </cfRule>
    <cfRule type="cellIs" dxfId="340" priority="360" operator="equal">
      <formula>"Baja"</formula>
    </cfRule>
    <cfRule type="cellIs" dxfId="339" priority="361" operator="equal">
      <formula>"Muy Baja"</formula>
    </cfRule>
  </conditionalFormatting>
  <conditionalFormatting sqref="P57">
    <cfRule type="cellIs" dxfId="338" priority="348" operator="equal">
      <formula>"Extremo"</formula>
    </cfRule>
    <cfRule type="cellIs" dxfId="337" priority="349" operator="equal">
      <formula>"Alto"</formula>
    </cfRule>
    <cfRule type="cellIs" dxfId="336" priority="350" operator="equal">
      <formula>"Moderado"</formula>
    </cfRule>
    <cfRule type="cellIs" dxfId="335" priority="351" operator="equal">
      <formula>"Bajo"</formula>
    </cfRule>
  </conditionalFormatting>
  <conditionalFormatting sqref="AA57:AA62">
    <cfRule type="cellIs" dxfId="334" priority="343" operator="equal">
      <formula>"Muy Alta"</formula>
    </cfRule>
    <cfRule type="cellIs" dxfId="333" priority="344" operator="equal">
      <formula>"Alta"</formula>
    </cfRule>
    <cfRule type="cellIs" dxfId="332" priority="345" operator="equal">
      <formula>"Media"</formula>
    </cfRule>
    <cfRule type="cellIs" dxfId="331" priority="346" operator="equal">
      <formula>"Baja"</formula>
    </cfRule>
    <cfRule type="cellIs" dxfId="330" priority="347" operator="equal">
      <formula>"Muy Baja"</formula>
    </cfRule>
  </conditionalFormatting>
  <conditionalFormatting sqref="AC57:AC62">
    <cfRule type="cellIs" dxfId="329" priority="338" operator="equal">
      <formula>"Catastrófico"</formula>
    </cfRule>
    <cfRule type="cellIs" dxfId="328" priority="339" operator="equal">
      <formula>"Mayor"</formula>
    </cfRule>
    <cfRule type="cellIs" dxfId="327" priority="340" operator="equal">
      <formula>"Moderado"</formula>
    </cfRule>
    <cfRule type="cellIs" dxfId="326" priority="341" operator="equal">
      <formula>"Menor"</formula>
    </cfRule>
    <cfRule type="cellIs" dxfId="325" priority="342" operator="equal">
      <formula>"Leve"</formula>
    </cfRule>
  </conditionalFormatting>
  <conditionalFormatting sqref="AE57:AE62">
    <cfRule type="cellIs" dxfId="324" priority="334" operator="equal">
      <formula>"Extremo"</formula>
    </cfRule>
    <cfRule type="cellIs" dxfId="323" priority="335" operator="equal">
      <formula>"Alto"</formula>
    </cfRule>
    <cfRule type="cellIs" dxfId="322" priority="336" operator="equal">
      <formula>"Moderado"</formula>
    </cfRule>
    <cfRule type="cellIs" dxfId="321" priority="337" operator="equal">
      <formula>"Bajo"</formula>
    </cfRule>
  </conditionalFormatting>
  <conditionalFormatting sqref="P63">
    <cfRule type="cellIs" dxfId="320" priority="320" operator="equal">
      <formula>"Extremo"</formula>
    </cfRule>
    <cfRule type="cellIs" dxfId="319" priority="321" operator="equal">
      <formula>"Alto"</formula>
    </cfRule>
    <cfRule type="cellIs" dxfId="318" priority="322" operator="equal">
      <formula>"Moderado"</formula>
    </cfRule>
    <cfRule type="cellIs" dxfId="317" priority="323" operator="equal">
      <formula>"Bajo"</formula>
    </cfRule>
  </conditionalFormatting>
  <conditionalFormatting sqref="AA63:AA68">
    <cfRule type="cellIs" dxfId="316" priority="315" operator="equal">
      <formula>"Muy Alta"</formula>
    </cfRule>
    <cfRule type="cellIs" dxfId="315" priority="316" operator="equal">
      <formula>"Alta"</formula>
    </cfRule>
    <cfRule type="cellIs" dxfId="314" priority="317" operator="equal">
      <formula>"Media"</formula>
    </cfRule>
    <cfRule type="cellIs" dxfId="313" priority="318" operator="equal">
      <formula>"Baja"</formula>
    </cfRule>
    <cfRule type="cellIs" dxfId="312" priority="319" operator="equal">
      <formula>"Muy Baja"</formula>
    </cfRule>
  </conditionalFormatting>
  <conditionalFormatting sqref="AC63:AC68">
    <cfRule type="cellIs" dxfId="311" priority="310" operator="equal">
      <formula>"Catastrófico"</formula>
    </cfRule>
    <cfRule type="cellIs" dxfId="310" priority="311" operator="equal">
      <formula>"Mayor"</formula>
    </cfRule>
    <cfRule type="cellIs" dxfId="309" priority="312" operator="equal">
      <formula>"Moderado"</formula>
    </cfRule>
    <cfRule type="cellIs" dxfId="308" priority="313" operator="equal">
      <formula>"Menor"</formula>
    </cfRule>
    <cfRule type="cellIs" dxfId="307" priority="314" operator="equal">
      <formula>"Leve"</formula>
    </cfRule>
  </conditionalFormatting>
  <conditionalFormatting sqref="AE63:AE68">
    <cfRule type="cellIs" dxfId="306" priority="306" operator="equal">
      <formula>"Extremo"</formula>
    </cfRule>
    <cfRule type="cellIs" dxfId="305" priority="307" operator="equal">
      <formula>"Alto"</formula>
    </cfRule>
    <cfRule type="cellIs" dxfId="304" priority="308" operator="equal">
      <formula>"Moderado"</formula>
    </cfRule>
    <cfRule type="cellIs" dxfId="303" priority="309" operator="equal">
      <formula>"Bajo"</formula>
    </cfRule>
  </conditionalFormatting>
  <conditionalFormatting sqref="J69">
    <cfRule type="cellIs" dxfId="302" priority="301" operator="equal">
      <formula>"Muy Alta"</formula>
    </cfRule>
    <cfRule type="cellIs" dxfId="301" priority="302" operator="equal">
      <formula>"Alta"</formula>
    </cfRule>
    <cfRule type="cellIs" dxfId="300" priority="303" operator="equal">
      <formula>"Media"</formula>
    </cfRule>
    <cfRule type="cellIs" dxfId="299" priority="304" operator="equal">
      <formula>"Baja"</formula>
    </cfRule>
    <cfRule type="cellIs" dxfId="298" priority="305" operator="equal">
      <formula>"Muy Baja"</formula>
    </cfRule>
  </conditionalFormatting>
  <conditionalFormatting sqref="P69">
    <cfRule type="cellIs" dxfId="297" priority="292" operator="equal">
      <formula>"Extremo"</formula>
    </cfRule>
    <cfRule type="cellIs" dxfId="296" priority="293" operator="equal">
      <formula>"Alto"</formula>
    </cfRule>
    <cfRule type="cellIs" dxfId="295" priority="294" operator="equal">
      <formula>"Moderado"</formula>
    </cfRule>
    <cfRule type="cellIs" dxfId="294" priority="295" operator="equal">
      <formula>"Bajo"</formula>
    </cfRule>
  </conditionalFormatting>
  <conditionalFormatting sqref="AA69:AA74">
    <cfRule type="cellIs" dxfId="293" priority="287" operator="equal">
      <formula>"Muy Alta"</formula>
    </cfRule>
    <cfRule type="cellIs" dxfId="292" priority="288" operator="equal">
      <formula>"Alta"</formula>
    </cfRule>
    <cfRule type="cellIs" dxfId="291" priority="289" operator="equal">
      <formula>"Media"</formula>
    </cfRule>
    <cfRule type="cellIs" dxfId="290" priority="290" operator="equal">
      <formula>"Baja"</formula>
    </cfRule>
    <cfRule type="cellIs" dxfId="289" priority="291" operator="equal">
      <formula>"Muy Baja"</formula>
    </cfRule>
  </conditionalFormatting>
  <conditionalFormatting sqref="AC69:AC74">
    <cfRule type="cellIs" dxfId="288" priority="282" operator="equal">
      <formula>"Catastrófico"</formula>
    </cfRule>
    <cfRule type="cellIs" dxfId="287" priority="283" operator="equal">
      <formula>"Mayor"</formula>
    </cfRule>
    <cfRule type="cellIs" dxfId="286" priority="284" operator="equal">
      <formula>"Moderado"</formula>
    </cfRule>
    <cfRule type="cellIs" dxfId="285" priority="285" operator="equal">
      <formula>"Menor"</formula>
    </cfRule>
    <cfRule type="cellIs" dxfId="284" priority="286" operator="equal">
      <formula>"Leve"</formula>
    </cfRule>
  </conditionalFormatting>
  <conditionalFormatting sqref="AE69:AE74">
    <cfRule type="cellIs" dxfId="283" priority="278" operator="equal">
      <formula>"Extremo"</formula>
    </cfRule>
    <cfRule type="cellIs" dxfId="282" priority="279" operator="equal">
      <formula>"Alto"</formula>
    </cfRule>
    <cfRule type="cellIs" dxfId="281" priority="280" operator="equal">
      <formula>"Moderado"</formula>
    </cfRule>
    <cfRule type="cellIs" dxfId="280" priority="281" operator="equal">
      <formula>"Bajo"</formula>
    </cfRule>
  </conditionalFormatting>
  <conditionalFormatting sqref="M15:M32 M39:M74">
    <cfRule type="containsText" dxfId="279" priority="277" operator="containsText" text="❌">
      <formula>NOT(ISERROR(SEARCH("❌",M15)))</formula>
    </cfRule>
  </conditionalFormatting>
  <conditionalFormatting sqref="J75 J81">
    <cfRule type="cellIs" dxfId="278" priority="272" operator="equal">
      <formula>"Muy Alta"</formula>
    </cfRule>
    <cfRule type="cellIs" dxfId="277" priority="273" operator="equal">
      <formula>"Alta"</formula>
    </cfRule>
    <cfRule type="cellIs" dxfId="276" priority="274" operator="equal">
      <formula>"Media"</formula>
    </cfRule>
    <cfRule type="cellIs" dxfId="275" priority="275" operator="equal">
      <formula>"Baja"</formula>
    </cfRule>
    <cfRule type="cellIs" dxfId="274" priority="276" operator="equal">
      <formula>"Muy Baja"</formula>
    </cfRule>
  </conditionalFormatting>
  <conditionalFormatting sqref="N75 N81 N87 N93 N99 N105 N111 N117 N123 N129">
    <cfRule type="cellIs" dxfId="273" priority="267" operator="equal">
      <formula>"Catastrófico"</formula>
    </cfRule>
    <cfRule type="cellIs" dxfId="272" priority="268" operator="equal">
      <formula>"Mayor"</formula>
    </cfRule>
    <cfRule type="cellIs" dxfId="271" priority="269" operator="equal">
      <formula>"Moderado"</formula>
    </cfRule>
    <cfRule type="cellIs" dxfId="270" priority="270" operator="equal">
      <formula>"Menor"</formula>
    </cfRule>
    <cfRule type="cellIs" dxfId="269" priority="271" operator="equal">
      <formula>"Leve"</formula>
    </cfRule>
  </conditionalFormatting>
  <conditionalFormatting sqref="P75">
    <cfRule type="cellIs" dxfId="268" priority="263" operator="equal">
      <formula>"Extremo"</formula>
    </cfRule>
    <cfRule type="cellIs" dxfId="267" priority="264" operator="equal">
      <formula>"Alto"</formula>
    </cfRule>
    <cfRule type="cellIs" dxfId="266" priority="265" operator="equal">
      <formula>"Moderado"</formula>
    </cfRule>
    <cfRule type="cellIs" dxfId="265" priority="266" operator="equal">
      <formula>"Bajo"</formula>
    </cfRule>
  </conditionalFormatting>
  <conditionalFormatting sqref="AA75:AA80">
    <cfRule type="cellIs" dxfId="264" priority="258" operator="equal">
      <formula>"Muy Alta"</formula>
    </cfRule>
    <cfRule type="cellIs" dxfId="263" priority="259" operator="equal">
      <formula>"Alta"</formula>
    </cfRule>
    <cfRule type="cellIs" dxfId="262" priority="260" operator="equal">
      <formula>"Media"</formula>
    </cfRule>
    <cfRule type="cellIs" dxfId="261" priority="261" operator="equal">
      <formula>"Baja"</formula>
    </cfRule>
    <cfRule type="cellIs" dxfId="260" priority="262" operator="equal">
      <formula>"Muy Baja"</formula>
    </cfRule>
  </conditionalFormatting>
  <conditionalFormatting sqref="AC75:AC80">
    <cfRule type="cellIs" dxfId="259" priority="253" operator="equal">
      <formula>"Catastrófico"</formula>
    </cfRule>
    <cfRule type="cellIs" dxfId="258" priority="254" operator="equal">
      <formula>"Mayor"</formula>
    </cfRule>
    <cfRule type="cellIs" dxfId="257" priority="255" operator="equal">
      <formula>"Moderado"</formula>
    </cfRule>
    <cfRule type="cellIs" dxfId="256" priority="256" operator="equal">
      <formula>"Menor"</formula>
    </cfRule>
    <cfRule type="cellIs" dxfId="255" priority="257" operator="equal">
      <formula>"Leve"</formula>
    </cfRule>
  </conditionalFormatting>
  <conditionalFormatting sqref="AE75:AE80">
    <cfRule type="cellIs" dxfId="254" priority="249" operator="equal">
      <formula>"Extremo"</formula>
    </cfRule>
    <cfRule type="cellIs" dxfId="253" priority="250" operator="equal">
      <formula>"Alto"</formula>
    </cfRule>
    <cfRule type="cellIs" dxfId="252" priority="251" operator="equal">
      <formula>"Moderado"</formula>
    </cfRule>
    <cfRule type="cellIs" dxfId="251" priority="252" operator="equal">
      <formula>"Bajo"</formula>
    </cfRule>
  </conditionalFormatting>
  <conditionalFormatting sqref="J123">
    <cfRule type="cellIs" dxfId="250" priority="88" operator="equal">
      <formula>"Muy Alta"</formula>
    </cfRule>
    <cfRule type="cellIs" dxfId="249" priority="89" operator="equal">
      <formula>"Alta"</formula>
    </cfRule>
    <cfRule type="cellIs" dxfId="248" priority="90" operator="equal">
      <formula>"Media"</formula>
    </cfRule>
    <cfRule type="cellIs" dxfId="247" priority="91" operator="equal">
      <formula>"Baja"</formula>
    </cfRule>
    <cfRule type="cellIs" dxfId="246" priority="92" operator="equal">
      <formula>"Muy Baja"</formula>
    </cfRule>
  </conditionalFormatting>
  <conditionalFormatting sqref="P81">
    <cfRule type="cellIs" dxfId="245" priority="245" operator="equal">
      <formula>"Extremo"</formula>
    </cfRule>
    <cfRule type="cellIs" dxfId="244" priority="246" operator="equal">
      <formula>"Alto"</formula>
    </cfRule>
    <cfRule type="cellIs" dxfId="243" priority="247" operator="equal">
      <formula>"Moderado"</formula>
    </cfRule>
    <cfRule type="cellIs" dxfId="242" priority="248" operator="equal">
      <formula>"Bajo"</formula>
    </cfRule>
  </conditionalFormatting>
  <conditionalFormatting sqref="AA81:AA86">
    <cfRule type="cellIs" dxfId="241" priority="240" operator="equal">
      <formula>"Muy Alta"</formula>
    </cfRule>
    <cfRule type="cellIs" dxfId="240" priority="241" operator="equal">
      <formula>"Alta"</formula>
    </cfRule>
    <cfRule type="cellIs" dxfId="239" priority="242" operator="equal">
      <formula>"Media"</formula>
    </cfRule>
    <cfRule type="cellIs" dxfId="238" priority="243" operator="equal">
      <formula>"Baja"</formula>
    </cfRule>
    <cfRule type="cellIs" dxfId="237" priority="244" operator="equal">
      <formula>"Muy Baja"</formula>
    </cfRule>
  </conditionalFormatting>
  <conditionalFormatting sqref="AC81:AC86">
    <cfRule type="cellIs" dxfId="236" priority="235" operator="equal">
      <formula>"Catastrófico"</formula>
    </cfRule>
    <cfRule type="cellIs" dxfId="235" priority="236" operator="equal">
      <formula>"Mayor"</formula>
    </cfRule>
    <cfRule type="cellIs" dxfId="234" priority="237" operator="equal">
      <formula>"Moderado"</formula>
    </cfRule>
    <cfRule type="cellIs" dxfId="233" priority="238" operator="equal">
      <formula>"Menor"</formula>
    </cfRule>
    <cfRule type="cellIs" dxfId="232" priority="239" operator="equal">
      <formula>"Leve"</formula>
    </cfRule>
  </conditionalFormatting>
  <conditionalFormatting sqref="AE81:AE86">
    <cfRule type="cellIs" dxfId="231" priority="231" operator="equal">
      <formula>"Extremo"</formula>
    </cfRule>
    <cfRule type="cellIs" dxfId="230" priority="232" operator="equal">
      <formula>"Alto"</formula>
    </cfRule>
    <cfRule type="cellIs" dxfId="229" priority="233" operator="equal">
      <formula>"Moderado"</formula>
    </cfRule>
    <cfRule type="cellIs" dxfId="228" priority="234" operator="equal">
      <formula>"Bajo"</formula>
    </cfRule>
  </conditionalFormatting>
  <conditionalFormatting sqref="J87">
    <cfRule type="cellIs" dxfId="227" priority="226" operator="equal">
      <formula>"Muy Alta"</formula>
    </cfRule>
    <cfRule type="cellIs" dxfId="226" priority="227" operator="equal">
      <formula>"Alta"</formula>
    </cfRule>
    <cfRule type="cellIs" dxfId="225" priority="228" operator="equal">
      <formula>"Media"</formula>
    </cfRule>
    <cfRule type="cellIs" dxfId="224" priority="229" operator="equal">
      <formula>"Baja"</formula>
    </cfRule>
    <cfRule type="cellIs" dxfId="223" priority="230" operator="equal">
      <formula>"Muy Baja"</formula>
    </cfRule>
  </conditionalFormatting>
  <conditionalFormatting sqref="P87">
    <cfRule type="cellIs" dxfId="222" priority="222" operator="equal">
      <formula>"Extremo"</formula>
    </cfRule>
    <cfRule type="cellIs" dxfId="221" priority="223" operator="equal">
      <formula>"Alto"</formula>
    </cfRule>
    <cfRule type="cellIs" dxfId="220" priority="224" operator="equal">
      <formula>"Moderado"</formula>
    </cfRule>
    <cfRule type="cellIs" dxfId="219" priority="225" operator="equal">
      <formula>"Bajo"</formula>
    </cfRule>
  </conditionalFormatting>
  <conditionalFormatting sqref="AA87:AA92">
    <cfRule type="cellIs" dxfId="218" priority="217" operator="equal">
      <formula>"Muy Alta"</formula>
    </cfRule>
    <cfRule type="cellIs" dxfId="217" priority="218" operator="equal">
      <formula>"Alta"</formula>
    </cfRule>
    <cfRule type="cellIs" dxfId="216" priority="219" operator="equal">
      <formula>"Media"</formula>
    </cfRule>
    <cfRule type="cellIs" dxfId="215" priority="220" operator="equal">
      <formula>"Baja"</formula>
    </cfRule>
    <cfRule type="cellIs" dxfId="214" priority="221" operator="equal">
      <formula>"Muy Baja"</formula>
    </cfRule>
  </conditionalFormatting>
  <conditionalFormatting sqref="AC87:AC92">
    <cfRule type="cellIs" dxfId="213" priority="212" operator="equal">
      <formula>"Catastrófico"</formula>
    </cfRule>
    <cfRule type="cellIs" dxfId="212" priority="213" operator="equal">
      <formula>"Mayor"</formula>
    </cfRule>
    <cfRule type="cellIs" dxfId="211" priority="214" operator="equal">
      <formula>"Moderado"</formula>
    </cfRule>
    <cfRule type="cellIs" dxfId="210" priority="215" operator="equal">
      <formula>"Menor"</formula>
    </cfRule>
    <cfRule type="cellIs" dxfId="209" priority="216" operator="equal">
      <formula>"Leve"</formula>
    </cfRule>
  </conditionalFormatting>
  <conditionalFormatting sqref="AE87:AE92">
    <cfRule type="cellIs" dxfId="208" priority="208" operator="equal">
      <formula>"Extremo"</formula>
    </cfRule>
    <cfRule type="cellIs" dxfId="207" priority="209" operator="equal">
      <formula>"Alto"</formula>
    </cfRule>
    <cfRule type="cellIs" dxfId="206" priority="210" operator="equal">
      <formula>"Moderado"</formula>
    </cfRule>
    <cfRule type="cellIs" dxfId="205" priority="211" operator="equal">
      <formula>"Bajo"</formula>
    </cfRule>
  </conditionalFormatting>
  <conditionalFormatting sqref="J93">
    <cfRule type="cellIs" dxfId="204" priority="203" operator="equal">
      <formula>"Muy Alta"</formula>
    </cfRule>
    <cfRule type="cellIs" dxfId="203" priority="204" operator="equal">
      <formula>"Alta"</formula>
    </cfRule>
    <cfRule type="cellIs" dxfId="202" priority="205" operator="equal">
      <formula>"Media"</formula>
    </cfRule>
    <cfRule type="cellIs" dxfId="201" priority="206" operator="equal">
      <formula>"Baja"</formula>
    </cfRule>
    <cfRule type="cellIs" dxfId="200" priority="207" operator="equal">
      <formula>"Muy Baja"</formula>
    </cfRule>
  </conditionalFormatting>
  <conditionalFormatting sqref="P93">
    <cfRule type="cellIs" dxfId="199" priority="199" operator="equal">
      <formula>"Extremo"</formula>
    </cfRule>
    <cfRule type="cellIs" dxfId="198" priority="200" operator="equal">
      <formula>"Alto"</formula>
    </cfRule>
    <cfRule type="cellIs" dxfId="197" priority="201" operator="equal">
      <formula>"Moderado"</formula>
    </cfRule>
    <cfRule type="cellIs" dxfId="196" priority="202" operator="equal">
      <formula>"Bajo"</formula>
    </cfRule>
  </conditionalFormatting>
  <conditionalFormatting sqref="AA93:AA98">
    <cfRule type="cellIs" dxfId="195" priority="194" operator="equal">
      <formula>"Muy Alta"</formula>
    </cfRule>
    <cfRule type="cellIs" dxfId="194" priority="195" operator="equal">
      <formula>"Alta"</formula>
    </cfRule>
    <cfRule type="cellIs" dxfId="193" priority="196" operator="equal">
      <formula>"Media"</formula>
    </cfRule>
    <cfRule type="cellIs" dxfId="192" priority="197" operator="equal">
      <formula>"Baja"</formula>
    </cfRule>
    <cfRule type="cellIs" dxfId="191" priority="198" operator="equal">
      <formula>"Muy Baja"</formula>
    </cfRule>
  </conditionalFormatting>
  <conditionalFormatting sqref="AC93:AC98">
    <cfRule type="cellIs" dxfId="190" priority="189" operator="equal">
      <formula>"Catastrófico"</formula>
    </cfRule>
    <cfRule type="cellIs" dxfId="189" priority="190" operator="equal">
      <formula>"Mayor"</formula>
    </cfRule>
    <cfRule type="cellIs" dxfId="188" priority="191" operator="equal">
      <formula>"Moderado"</formula>
    </cfRule>
    <cfRule type="cellIs" dxfId="187" priority="192" operator="equal">
      <formula>"Menor"</formula>
    </cfRule>
    <cfRule type="cellIs" dxfId="186" priority="193" operator="equal">
      <formula>"Leve"</formula>
    </cfRule>
  </conditionalFormatting>
  <conditionalFormatting sqref="AE93:AE98">
    <cfRule type="cellIs" dxfId="185" priority="185" operator="equal">
      <formula>"Extremo"</formula>
    </cfRule>
    <cfRule type="cellIs" dxfId="184" priority="186" operator="equal">
      <formula>"Alto"</formula>
    </cfRule>
    <cfRule type="cellIs" dxfId="183" priority="187" operator="equal">
      <formula>"Moderado"</formula>
    </cfRule>
    <cfRule type="cellIs" dxfId="182" priority="188" operator="equal">
      <formula>"Bajo"</formula>
    </cfRule>
  </conditionalFormatting>
  <conditionalFormatting sqref="J99">
    <cfRule type="cellIs" dxfId="181" priority="180" operator="equal">
      <formula>"Muy Alta"</formula>
    </cfRule>
    <cfRule type="cellIs" dxfId="180" priority="181" operator="equal">
      <formula>"Alta"</formula>
    </cfRule>
    <cfRule type="cellIs" dxfId="179" priority="182" operator="equal">
      <formula>"Media"</formula>
    </cfRule>
    <cfRule type="cellIs" dxfId="178" priority="183" operator="equal">
      <formula>"Baja"</formula>
    </cfRule>
    <cfRule type="cellIs" dxfId="177" priority="184" operator="equal">
      <formula>"Muy Baja"</formula>
    </cfRule>
  </conditionalFormatting>
  <conditionalFormatting sqref="P99">
    <cfRule type="cellIs" dxfId="176" priority="176" operator="equal">
      <formula>"Extremo"</formula>
    </cfRule>
    <cfRule type="cellIs" dxfId="175" priority="177" operator="equal">
      <formula>"Alto"</formula>
    </cfRule>
    <cfRule type="cellIs" dxfId="174" priority="178" operator="equal">
      <formula>"Moderado"</formula>
    </cfRule>
    <cfRule type="cellIs" dxfId="173" priority="179" operator="equal">
      <formula>"Bajo"</formula>
    </cfRule>
  </conditionalFormatting>
  <conditionalFormatting sqref="AA99:AA104">
    <cfRule type="cellIs" dxfId="172" priority="171" operator="equal">
      <formula>"Muy Alta"</formula>
    </cfRule>
    <cfRule type="cellIs" dxfId="171" priority="172" operator="equal">
      <formula>"Alta"</formula>
    </cfRule>
    <cfRule type="cellIs" dxfId="170" priority="173" operator="equal">
      <formula>"Media"</formula>
    </cfRule>
    <cfRule type="cellIs" dxfId="169" priority="174" operator="equal">
      <formula>"Baja"</formula>
    </cfRule>
    <cfRule type="cellIs" dxfId="168" priority="175" operator="equal">
      <formula>"Muy Baja"</formula>
    </cfRule>
  </conditionalFormatting>
  <conditionalFormatting sqref="AC99:AC104">
    <cfRule type="cellIs" dxfId="167" priority="166" operator="equal">
      <formula>"Catastrófico"</formula>
    </cfRule>
    <cfRule type="cellIs" dxfId="166" priority="167" operator="equal">
      <formula>"Mayor"</formula>
    </cfRule>
    <cfRule type="cellIs" dxfId="165" priority="168" operator="equal">
      <formula>"Moderado"</formula>
    </cfRule>
    <cfRule type="cellIs" dxfId="164" priority="169" operator="equal">
      <formula>"Menor"</formula>
    </cfRule>
    <cfRule type="cellIs" dxfId="163" priority="170" operator="equal">
      <formula>"Leve"</formula>
    </cfRule>
  </conditionalFormatting>
  <conditionalFormatting sqref="AE99:AE104">
    <cfRule type="cellIs" dxfId="162" priority="162" operator="equal">
      <formula>"Extremo"</formula>
    </cfRule>
    <cfRule type="cellIs" dxfId="161" priority="163" operator="equal">
      <formula>"Alto"</formula>
    </cfRule>
    <cfRule type="cellIs" dxfId="160" priority="164" operator="equal">
      <formula>"Moderado"</formula>
    </cfRule>
    <cfRule type="cellIs" dxfId="159" priority="165" operator="equal">
      <formula>"Bajo"</formula>
    </cfRule>
  </conditionalFormatting>
  <conditionalFormatting sqref="J105">
    <cfRule type="cellIs" dxfId="158" priority="157" operator="equal">
      <formula>"Muy Alta"</formula>
    </cfRule>
    <cfRule type="cellIs" dxfId="157" priority="158" operator="equal">
      <formula>"Alta"</formula>
    </cfRule>
    <cfRule type="cellIs" dxfId="156" priority="159" operator="equal">
      <formula>"Media"</formula>
    </cfRule>
    <cfRule type="cellIs" dxfId="155" priority="160" operator="equal">
      <formula>"Baja"</formula>
    </cfRule>
    <cfRule type="cellIs" dxfId="154" priority="161" operator="equal">
      <formula>"Muy Baja"</formula>
    </cfRule>
  </conditionalFormatting>
  <conditionalFormatting sqref="P105">
    <cfRule type="cellIs" dxfId="153" priority="153" operator="equal">
      <formula>"Extremo"</formula>
    </cfRule>
    <cfRule type="cellIs" dxfId="152" priority="154" operator="equal">
      <formula>"Alto"</formula>
    </cfRule>
    <cfRule type="cellIs" dxfId="151" priority="155" operator="equal">
      <formula>"Moderado"</formula>
    </cfRule>
    <cfRule type="cellIs" dxfId="150" priority="156" operator="equal">
      <formula>"Bajo"</formula>
    </cfRule>
  </conditionalFormatting>
  <conditionalFormatting sqref="AA105:AA110">
    <cfRule type="cellIs" dxfId="149" priority="148" operator="equal">
      <formula>"Muy Alta"</formula>
    </cfRule>
    <cfRule type="cellIs" dxfId="148" priority="149" operator="equal">
      <formula>"Alta"</formula>
    </cfRule>
    <cfRule type="cellIs" dxfId="147" priority="150" operator="equal">
      <formula>"Media"</formula>
    </cfRule>
    <cfRule type="cellIs" dxfId="146" priority="151" operator="equal">
      <formula>"Baja"</formula>
    </cfRule>
    <cfRule type="cellIs" dxfId="145" priority="152" operator="equal">
      <formula>"Muy Baja"</formula>
    </cfRule>
  </conditionalFormatting>
  <conditionalFormatting sqref="AC105:AC110">
    <cfRule type="cellIs" dxfId="144" priority="143" operator="equal">
      <formula>"Catastrófico"</formula>
    </cfRule>
    <cfRule type="cellIs" dxfId="143" priority="144" operator="equal">
      <formula>"Mayor"</formula>
    </cfRule>
    <cfRule type="cellIs" dxfId="142" priority="145" operator="equal">
      <formula>"Moderado"</formula>
    </cfRule>
    <cfRule type="cellIs" dxfId="141" priority="146" operator="equal">
      <formula>"Menor"</formula>
    </cfRule>
    <cfRule type="cellIs" dxfId="140" priority="147" operator="equal">
      <formula>"Leve"</formula>
    </cfRule>
  </conditionalFormatting>
  <conditionalFormatting sqref="AE105:AE110">
    <cfRule type="cellIs" dxfId="139" priority="139" operator="equal">
      <formula>"Extremo"</formula>
    </cfRule>
    <cfRule type="cellIs" dxfId="138" priority="140" operator="equal">
      <formula>"Alto"</formula>
    </cfRule>
    <cfRule type="cellIs" dxfId="137" priority="141" operator="equal">
      <formula>"Moderado"</formula>
    </cfRule>
    <cfRule type="cellIs" dxfId="136" priority="142" operator="equal">
      <formula>"Bajo"</formula>
    </cfRule>
  </conditionalFormatting>
  <conditionalFormatting sqref="J111">
    <cfRule type="cellIs" dxfId="135" priority="134" operator="equal">
      <formula>"Muy Alta"</formula>
    </cfRule>
    <cfRule type="cellIs" dxfId="134" priority="135" operator="equal">
      <formula>"Alta"</formula>
    </cfRule>
    <cfRule type="cellIs" dxfId="133" priority="136" operator="equal">
      <formula>"Media"</formula>
    </cfRule>
    <cfRule type="cellIs" dxfId="132" priority="137" operator="equal">
      <formula>"Baja"</formula>
    </cfRule>
    <cfRule type="cellIs" dxfId="131" priority="138" operator="equal">
      <formula>"Muy Baja"</formula>
    </cfRule>
  </conditionalFormatting>
  <conditionalFormatting sqref="P111">
    <cfRule type="cellIs" dxfId="130" priority="130" operator="equal">
      <formula>"Extremo"</formula>
    </cfRule>
    <cfRule type="cellIs" dxfId="129" priority="131" operator="equal">
      <formula>"Alto"</formula>
    </cfRule>
    <cfRule type="cellIs" dxfId="128" priority="132" operator="equal">
      <formula>"Moderado"</formula>
    </cfRule>
    <cfRule type="cellIs" dxfId="127" priority="133" operator="equal">
      <formula>"Bajo"</formula>
    </cfRule>
  </conditionalFormatting>
  <conditionalFormatting sqref="AA111:AA116">
    <cfRule type="cellIs" dxfId="126" priority="125" operator="equal">
      <formula>"Muy Alta"</formula>
    </cfRule>
    <cfRule type="cellIs" dxfId="125" priority="126" operator="equal">
      <formula>"Alta"</formula>
    </cfRule>
    <cfRule type="cellIs" dxfId="124" priority="127" operator="equal">
      <formula>"Media"</formula>
    </cfRule>
    <cfRule type="cellIs" dxfId="123" priority="128" operator="equal">
      <formula>"Baja"</formula>
    </cfRule>
    <cfRule type="cellIs" dxfId="122" priority="129" operator="equal">
      <formula>"Muy Baja"</formula>
    </cfRule>
  </conditionalFormatting>
  <conditionalFormatting sqref="AC111:AC116">
    <cfRule type="cellIs" dxfId="121" priority="120" operator="equal">
      <formula>"Catastrófico"</formula>
    </cfRule>
    <cfRule type="cellIs" dxfId="120" priority="121" operator="equal">
      <formula>"Mayor"</formula>
    </cfRule>
    <cfRule type="cellIs" dxfId="119" priority="122" operator="equal">
      <formula>"Moderado"</formula>
    </cfRule>
    <cfRule type="cellIs" dxfId="118" priority="123" operator="equal">
      <formula>"Menor"</formula>
    </cfRule>
    <cfRule type="cellIs" dxfId="117" priority="124" operator="equal">
      <formula>"Leve"</formula>
    </cfRule>
  </conditionalFormatting>
  <conditionalFormatting sqref="AE111:AE116">
    <cfRule type="cellIs" dxfId="116" priority="116" operator="equal">
      <formula>"Extremo"</formula>
    </cfRule>
    <cfRule type="cellIs" dxfId="115" priority="117" operator="equal">
      <formula>"Alto"</formula>
    </cfRule>
    <cfRule type="cellIs" dxfId="114" priority="118" operator="equal">
      <formula>"Moderado"</formula>
    </cfRule>
    <cfRule type="cellIs" dxfId="113" priority="119" operator="equal">
      <formula>"Bajo"</formula>
    </cfRule>
  </conditionalFormatting>
  <conditionalFormatting sqref="J117">
    <cfRule type="cellIs" dxfId="112" priority="111" operator="equal">
      <formula>"Muy Alta"</formula>
    </cfRule>
    <cfRule type="cellIs" dxfId="111" priority="112" operator="equal">
      <formula>"Alta"</formula>
    </cfRule>
    <cfRule type="cellIs" dxfId="110" priority="113" operator="equal">
      <formula>"Media"</formula>
    </cfRule>
    <cfRule type="cellIs" dxfId="109" priority="114" operator="equal">
      <formula>"Baja"</formula>
    </cfRule>
    <cfRule type="cellIs" dxfId="108" priority="115" operator="equal">
      <formula>"Muy Baja"</formula>
    </cfRule>
  </conditionalFormatting>
  <conditionalFormatting sqref="P117">
    <cfRule type="cellIs" dxfId="107" priority="107" operator="equal">
      <formula>"Extremo"</formula>
    </cfRule>
    <cfRule type="cellIs" dxfId="106" priority="108" operator="equal">
      <formula>"Alto"</formula>
    </cfRule>
    <cfRule type="cellIs" dxfId="105" priority="109" operator="equal">
      <formula>"Moderado"</formula>
    </cfRule>
    <cfRule type="cellIs" dxfId="104" priority="110" operator="equal">
      <formula>"Bajo"</formula>
    </cfRule>
  </conditionalFormatting>
  <conditionalFormatting sqref="AA117:AA122">
    <cfRule type="cellIs" dxfId="103" priority="102" operator="equal">
      <formula>"Muy Alta"</formula>
    </cfRule>
    <cfRule type="cellIs" dxfId="102" priority="103" operator="equal">
      <formula>"Alta"</formula>
    </cfRule>
    <cfRule type="cellIs" dxfId="101" priority="104" operator="equal">
      <formula>"Media"</formula>
    </cfRule>
    <cfRule type="cellIs" dxfId="100" priority="105" operator="equal">
      <formula>"Baja"</formula>
    </cfRule>
    <cfRule type="cellIs" dxfId="99" priority="106" operator="equal">
      <formula>"Muy Baja"</formula>
    </cfRule>
  </conditionalFormatting>
  <conditionalFormatting sqref="AC117:AC122">
    <cfRule type="cellIs" dxfId="98" priority="97" operator="equal">
      <formula>"Catastrófico"</formula>
    </cfRule>
    <cfRule type="cellIs" dxfId="97" priority="98" operator="equal">
      <formula>"Mayor"</formula>
    </cfRule>
    <cfRule type="cellIs" dxfId="96" priority="99" operator="equal">
      <formula>"Moderado"</formula>
    </cfRule>
    <cfRule type="cellIs" dxfId="95" priority="100" operator="equal">
      <formula>"Menor"</formula>
    </cfRule>
    <cfRule type="cellIs" dxfId="94" priority="101" operator="equal">
      <formula>"Leve"</formula>
    </cfRule>
  </conditionalFormatting>
  <conditionalFormatting sqref="AE117:AE122">
    <cfRule type="cellIs" dxfId="93" priority="93" operator="equal">
      <formula>"Extremo"</formula>
    </cfRule>
    <cfRule type="cellIs" dxfId="92" priority="94" operator="equal">
      <formula>"Alto"</formula>
    </cfRule>
    <cfRule type="cellIs" dxfId="91" priority="95" operator="equal">
      <formula>"Moderado"</formula>
    </cfRule>
    <cfRule type="cellIs" dxfId="90" priority="96" operator="equal">
      <formula>"Bajo"</formula>
    </cfRule>
  </conditionalFormatting>
  <conditionalFormatting sqref="P123">
    <cfRule type="cellIs" dxfId="89" priority="84" operator="equal">
      <formula>"Extremo"</formula>
    </cfRule>
    <cfRule type="cellIs" dxfId="88" priority="85" operator="equal">
      <formula>"Alto"</formula>
    </cfRule>
    <cfRule type="cellIs" dxfId="87" priority="86" operator="equal">
      <formula>"Moderado"</formula>
    </cfRule>
    <cfRule type="cellIs" dxfId="86" priority="87" operator="equal">
      <formula>"Bajo"</formula>
    </cfRule>
  </conditionalFormatting>
  <conditionalFormatting sqref="AA123:AA128">
    <cfRule type="cellIs" dxfId="85" priority="79" operator="equal">
      <formula>"Muy Alta"</formula>
    </cfRule>
    <cfRule type="cellIs" dxfId="84" priority="80" operator="equal">
      <formula>"Alta"</formula>
    </cfRule>
    <cfRule type="cellIs" dxfId="83" priority="81" operator="equal">
      <formula>"Media"</formula>
    </cfRule>
    <cfRule type="cellIs" dxfId="82" priority="82" operator="equal">
      <formula>"Baja"</formula>
    </cfRule>
    <cfRule type="cellIs" dxfId="81" priority="83" operator="equal">
      <formula>"Muy Baja"</formula>
    </cfRule>
  </conditionalFormatting>
  <conditionalFormatting sqref="AC123:AC128">
    <cfRule type="cellIs" dxfId="80" priority="74" operator="equal">
      <formula>"Catastrófico"</formula>
    </cfRule>
    <cfRule type="cellIs" dxfId="79" priority="75" operator="equal">
      <formula>"Mayor"</formula>
    </cfRule>
    <cfRule type="cellIs" dxfId="78" priority="76" operator="equal">
      <formula>"Moderado"</formula>
    </cfRule>
    <cfRule type="cellIs" dxfId="77" priority="77" operator="equal">
      <formula>"Menor"</formula>
    </cfRule>
    <cfRule type="cellIs" dxfId="76" priority="78" operator="equal">
      <formula>"Leve"</formula>
    </cfRule>
  </conditionalFormatting>
  <conditionalFormatting sqref="AE123:AE128">
    <cfRule type="cellIs" dxfId="75" priority="70" operator="equal">
      <formula>"Extremo"</formula>
    </cfRule>
    <cfRule type="cellIs" dxfId="74" priority="71" operator="equal">
      <formula>"Alto"</formula>
    </cfRule>
    <cfRule type="cellIs" dxfId="73" priority="72" operator="equal">
      <formula>"Moderado"</formula>
    </cfRule>
    <cfRule type="cellIs" dxfId="72" priority="73" operator="equal">
      <formula>"Bajo"</formula>
    </cfRule>
  </conditionalFormatting>
  <conditionalFormatting sqref="J129">
    <cfRule type="cellIs" dxfId="71" priority="65" operator="equal">
      <formula>"Muy Alta"</formula>
    </cfRule>
    <cfRule type="cellIs" dxfId="70" priority="66" operator="equal">
      <formula>"Alta"</formula>
    </cfRule>
    <cfRule type="cellIs" dxfId="69" priority="67" operator="equal">
      <formula>"Media"</formula>
    </cfRule>
    <cfRule type="cellIs" dxfId="68" priority="68" operator="equal">
      <formula>"Baja"</formula>
    </cfRule>
    <cfRule type="cellIs" dxfId="67" priority="69" operator="equal">
      <formula>"Muy Baja"</formula>
    </cfRule>
  </conditionalFormatting>
  <conditionalFormatting sqref="P129">
    <cfRule type="cellIs" dxfId="66" priority="61" operator="equal">
      <formula>"Extremo"</formula>
    </cfRule>
    <cfRule type="cellIs" dxfId="65" priority="62" operator="equal">
      <formula>"Alto"</formula>
    </cfRule>
    <cfRule type="cellIs" dxfId="64" priority="63" operator="equal">
      <formula>"Moderado"</formula>
    </cfRule>
    <cfRule type="cellIs" dxfId="63" priority="64" operator="equal">
      <formula>"Bajo"</formula>
    </cfRule>
  </conditionalFormatting>
  <conditionalFormatting sqref="AA129:AA134">
    <cfRule type="cellIs" dxfId="62" priority="56" operator="equal">
      <formula>"Muy Alta"</formula>
    </cfRule>
    <cfRule type="cellIs" dxfId="61" priority="57" operator="equal">
      <formula>"Alta"</formula>
    </cfRule>
    <cfRule type="cellIs" dxfId="60" priority="58" operator="equal">
      <formula>"Media"</formula>
    </cfRule>
    <cfRule type="cellIs" dxfId="59" priority="59" operator="equal">
      <formula>"Baja"</formula>
    </cfRule>
    <cfRule type="cellIs" dxfId="58" priority="60" operator="equal">
      <formula>"Muy Baja"</formula>
    </cfRule>
  </conditionalFormatting>
  <conditionalFormatting sqref="AC129:AC134">
    <cfRule type="cellIs" dxfId="57" priority="51" operator="equal">
      <formula>"Catastrófico"</formula>
    </cfRule>
    <cfRule type="cellIs" dxfId="56" priority="52" operator="equal">
      <formula>"Mayor"</formula>
    </cfRule>
    <cfRule type="cellIs" dxfId="55" priority="53" operator="equal">
      <formula>"Moderado"</formula>
    </cfRule>
    <cfRule type="cellIs" dxfId="54" priority="54" operator="equal">
      <formula>"Menor"</formula>
    </cfRule>
    <cfRule type="cellIs" dxfId="53" priority="55" operator="equal">
      <formula>"Leve"</formula>
    </cfRule>
  </conditionalFormatting>
  <conditionalFormatting sqref="AE129:AE134">
    <cfRule type="cellIs" dxfId="52" priority="47" operator="equal">
      <formula>"Extremo"</formula>
    </cfRule>
    <cfRule type="cellIs" dxfId="51" priority="48" operator="equal">
      <formula>"Alto"</formula>
    </cfRule>
    <cfRule type="cellIs" dxfId="50" priority="49" operator="equal">
      <formula>"Moderado"</formula>
    </cfRule>
    <cfRule type="cellIs" dxfId="49" priority="50" operator="equal">
      <formula>"Bajo"</formula>
    </cfRule>
  </conditionalFormatting>
  <conditionalFormatting sqref="M75:M134">
    <cfRule type="containsText" dxfId="48" priority="46" operator="containsText" text="❌">
      <formula>NOT(ISERROR(SEARCH("❌",M75)))</formula>
    </cfRule>
  </conditionalFormatting>
  <conditionalFormatting sqref="J9">
    <cfRule type="cellIs" dxfId="47" priority="41" operator="equal">
      <formula>"Muy Alta"</formula>
    </cfRule>
    <cfRule type="cellIs" dxfId="46" priority="42" operator="equal">
      <formula>"Alta"</formula>
    </cfRule>
    <cfRule type="cellIs" dxfId="45" priority="43" operator="equal">
      <formula>"Media"</formula>
    </cfRule>
    <cfRule type="cellIs" dxfId="44" priority="44" operator="equal">
      <formula>"Baja"</formula>
    </cfRule>
    <cfRule type="cellIs" dxfId="43" priority="45" operator="equal">
      <formula>"Muy Baja"</formula>
    </cfRule>
  </conditionalFormatting>
  <conditionalFormatting sqref="M9:M14">
    <cfRule type="containsText" dxfId="42" priority="30" operator="containsText" text="❌">
      <formula>NOT(ISERROR(SEARCH("❌",M9)))</formula>
    </cfRule>
  </conditionalFormatting>
  <conditionalFormatting sqref="N9">
    <cfRule type="cellIs" dxfId="41" priority="35" operator="equal">
      <formula>"Catastrófico"</formula>
    </cfRule>
    <cfRule type="cellIs" dxfId="40" priority="36" operator="equal">
      <formula>"Mayor"</formula>
    </cfRule>
    <cfRule type="cellIs" dxfId="39" priority="37" operator="equal">
      <formula>"Moderado"</formula>
    </cfRule>
    <cfRule type="cellIs" dxfId="38" priority="38" operator="equal">
      <formula>"Menor"</formula>
    </cfRule>
    <cfRule type="cellIs" dxfId="37" priority="39" operator="equal">
      <formula>"Leve"</formula>
    </cfRule>
  </conditionalFormatting>
  <conditionalFormatting sqref="P9">
    <cfRule type="cellIs" dxfId="36" priority="31" operator="equal">
      <formula>"Extremo"</formula>
    </cfRule>
    <cfRule type="cellIs" dxfId="35" priority="32" operator="equal">
      <formula>"Alto"</formula>
    </cfRule>
    <cfRule type="cellIs" dxfId="34" priority="33" operator="equal">
      <formula>"Moderado"</formula>
    </cfRule>
    <cfRule type="cellIs" dxfId="33" priority="34" operator="equal">
      <formula>"Bajo"</formula>
    </cfRule>
  </conditionalFormatting>
  <conditionalFormatting sqref="N33">
    <cfRule type="cellIs" dxfId="32" priority="25" operator="equal">
      <formula>"Catastrófico"</formula>
    </cfRule>
    <cfRule type="cellIs" dxfId="31" priority="26" operator="equal">
      <formula>"Mayor"</formula>
    </cfRule>
    <cfRule type="cellIs" dxfId="30" priority="27" operator="equal">
      <formula>"Moderado"</formula>
    </cfRule>
    <cfRule type="cellIs" dxfId="29" priority="28" operator="equal">
      <formula>"Menor"</formula>
    </cfRule>
    <cfRule type="cellIs" dxfId="28" priority="29" operator="equal">
      <formula>"Leve"</formula>
    </cfRule>
  </conditionalFormatting>
  <conditionalFormatting sqref="J33">
    <cfRule type="cellIs" dxfId="27" priority="20" operator="equal">
      <formula>"Muy Alta"</formula>
    </cfRule>
    <cfRule type="cellIs" dxfId="26" priority="21" operator="equal">
      <formula>"Alta"</formula>
    </cfRule>
    <cfRule type="cellIs" dxfId="25" priority="22" operator="equal">
      <formula>"Media"</formula>
    </cfRule>
    <cfRule type="cellIs" dxfId="24" priority="23" operator="equal">
      <formula>"Baja"</formula>
    </cfRule>
    <cfRule type="cellIs" dxfId="23" priority="24" operator="equal">
      <formula>"Muy Baja"</formula>
    </cfRule>
  </conditionalFormatting>
  <conditionalFormatting sqref="P33">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AA33:AA38">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C33:AC38">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E33:AE38">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M33:M38">
    <cfRule type="containsText" dxfId="4" priority="1" operator="containsText" text="❌">
      <formula>NOT(ISERROR(SEARCH("❌",M33)))</formula>
    </cfRule>
  </conditionalFormatting>
  <dataValidations count="8">
    <dataValidation type="list" allowBlank="1" showInputMessage="1" showErrorMessage="1" sqref="L136">
      <formula1>"Insignificante, Menor, Moderado, Mayor, Crítico"</formula1>
    </dataValidation>
    <dataValidation type="list" allowBlank="1" showInputMessage="1" showErrorMessage="1" sqref="S136">
      <formula1>"Preventivo, Detectivo, Correctivo"</formula1>
    </dataValidation>
    <dataValidation type="list" allowBlank="1" showInputMessage="1" showErrorMessage="1" sqref="T136">
      <formula1>"Autómatico, Manual"</formula1>
    </dataValidation>
    <dataValidation type="list" allowBlank="1" showInputMessage="1" showErrorMessage="1" sqref="V136">
      <formula1>"Documentado, Sin documentar"</formula1>
    </dataValidation>
    <dataValidation type="list" allowBlank="1" showInputMessage="1" showErrorMessage="1" sqref="W136">
      <formula1>"Continua, Aleatoria "</formula1>
    </dataValidation>
    <dataValidation type="list" allowBlank="1" showInputMessage="1" showErrorMessage="1" sqref="X136">
      <formula1>"Con resgistro, Sin registro"</formula1>
    </dataValidation>
    <dataValidation type="list" allowBlank="1" showInputMessage="1" showErrorMessage="1" sqref="G6 G9:G1048576">
      <formula1>"Estratégicos, Imagen, Operativos, Financieros,Cumplimiento,Tecnológicos, Fraude, Corrupción, Imparcialidad, Confidencialidad, Seguridad de la información "</formula1>
    </dataValidation>
    <dataValidation type="list" allowBlank="1" showInputMessage="1" showErrorMessage="1" sqref="H6 H39:H1048576 H9:H27 H33">
      <formula1>"Positivo (Oportunidad) , Negativo (Amenaza)"</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'Tabla Valoración controles'!$D$4:$D$6</xm:f>
          </x14:formula1>
          <xm:sqref>T9:T134</xm:sqref>
        </x14:dataValidation>
        <x14:dataValidation type="list" allowBlank="1" showInputMessage="1" showErrorMessage="1">
          <x14:formula1>
            <xm:f>'Tabla Valoración controles'!$D$7:$D$8</xm:f>
          </x14:formula1>
          <xm:sqref>U9:U134</xm:sqref>
        </x14:dataValidation>
        <x14:dataValidation type="list" allowBlank="1" showInputMessage="1" showErrorMessage="1">
          <x14:formula1>
            <xm:f>'Tabla Valoración controles'!$D$9:$D$10</xm:f>
          </x14:formula1>
          <xm:sqref>W9:W134</xm:sqref>
        </x14:dataValidation>
        <x14:dataValidation type="list" allowBlank="1" showInputMessage="1" showErrorMessage="1">
          <x14:formula1>
            <xm:f>'Tabla Valoración controles'!$D$11:$D$12</xm:f>
          </x14:formula1>
          <xm:sqref>X9:X134</xm:sqref>
        </x14:dataValidation>
        <x14:dataValidation type="list" allowBlank="1" showInputMessage="1" showErrorMessage="1">
          <x14:formula1>
            <xm:f>'Opciones Tratamiento'!$B$9:$B$10</xm:f>
          </x14:formula1>
          <xm:sqref>AL9:AL10 AL12:AL13 AL15:AL19 AL21:AL25 AL27:AL31 AL39:AL40 AL42:AL43 AL45:AL46 AL48:AL49 AL51:AL52 AL54:AL55 AL57:AL58 AL60:AL61 AL63:AL64 AL66:AL67 AL69:AL70 AL72:AL73 AL75:AL76 AL78:AL79 AL81:AL82 AL84:AL85 AL87:AL88 AL90:AL91 AL93:AL94 AL96:AL97 AL99:AL100 AL102:AL103 AL105:AL106 AL108:AL109 AL111:AL112 AL114:AL115 AL117:AL118 AL120:AL121 AL123:AL124 AL126:AL127 AL129:AL130 AL132:AL133 AL33:AL34 AL36:AL37</xm:sqref>
        </x14:dataValidation>
        <x14:dataValidation type="list" allowBlank="1" showInputMessage="1" showErrorMessage="1">
          <x14:formula1>
            <xm:f>'Tabla Valoración controles'!$D$13:$D$14</xm:f>
          </x14:formula1>
          <xm:sqref>Y9:Y134</xm:sqref>
        </x14:dataValidation>
        <x14:dataValidation type="list" allowBlank="1" showInputMessage="1" showErrorMessage="1">
          <x14:formula1>
            <xm:f>'Opciones Tratamiento'!$B$2:$B$5</xm:f>
          </x14:formula1>
          <xm:sqref>AF9:AF134</xm:sqref>
        </x14:dataValidation>
        <x14:dataValidation type="list" allowBlank="1" showInputMessage="1" showErrorMessage="1">
          <x14:formula1>
            <xm:f>'Tabla Impacto'!$F$210:$F$221</xm:f>
          </x14:formula1>
          <xm:sqref>L9:L134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AG9:AG134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AH9:AH134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AI9:AI134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AJ9:AJ134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AK9:AK134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7" zoomScale="50" zoomScaleNormal="50" workbookViewId="0">
      <selection activeCell="J46" sqref="J46:O51"/>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35" t="s">
        <v>154</v>
      </c>
      <c r="C2" s="235"/>
      <c r="D2" s="235"/>
      <c r="E2" s="235"/>
      <c r="F2" s="235"/>
      <c r="G2" s="235"/>
      <c r="H2" s="235"/>
      <c r="I2" s="235"/>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35"/>
      <c r="C3" s="235"/>
      <c r="D3" s="235"/>
      <c r="E3" s="235"/>
      <c r="F3" s="235"/>
      <c r="G3" s="235"/>
      <c r="H3" s="235"/>
      <c r="I3" s="235"/>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35"/>
      <c r="C4" s="235"/>
      <c r="D4" s="235"/>
      <c r="E4" s="235"/>
      <c r="F4" s="235"/>
      <c r="G4" s="235"/>
      <c r="H4" s="235"/>
      <c r="I4" s="235"/>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85" t="s">
        <v>3</v>
      </c>
      <c r="C6" s="285"/>
      <c r="D6" s="286"/>
      <c r="E6" s="274" t="s">
        <v>112</v>
      </c>
      <c r="F6" s="275"/>
      <c r="G6" s="275"/>
      <c r="H6" s="275"/>
      <c r="I6" s="276"/>
      <c r="J6" s="270" t="str">
        <f>IF(AND('Mapa final'!$J$9="Muy Alta",'Mapa final'!$N$9="Leve"),CONCATENATE("R",'Mapa final'!$A$9),"")</f>
        <v/>
      </c>
      <c r="K6" s="271"/>
      <c r="L6" s="271" t="str">
        <f>IF(AND('Mapa final'!$J$15="Muy Alta",'Mapa final'!$N$15="Leve"),CONCATENATE("R",'Mapa final'!$A$15),"")</f>
        <v/>
      </c>
      <c r="M6" s="271"/>
      <c r="N6" s="271" t="str">
        <f>IF(AND('Mapa final'!$J$21="Muy Alta",'Mapa final'!$N$21="Leve"),CONCATENATE("R",'Mapa final'!$A$21),"")</f>
        <v/>
      </c>
      <c r="O6" s="272"/>
      <c r="P6" s="270" t="str">
        <f>IF(AND('Mapa final'!$J$9="Muy Alta",'Mapa final'!$N$9="Menor"),CONCATENATE("R",'Mapa final'!$A$9),"")</f>
        <v/>
      </c>
      <c r="Q6" s="271"/>
      <c r="R6" s="271" t="str">
        <f>IF(AND('Mapa final'!$J$15="Muy Alta",'Mapa final'!$N$15="Menor"),CONCATENATE("R",'Mapa final'!$A$15),"")</f>
        <v/>
      </c>
      <c r="S6" s="271"/>
      <c r="T6" s="271" t="str">
        <f>IF(AND('Mapa final'!$J$21="Muy Alta",'Mapa final'!$N$21="Menor"),CONCATENATE("R",'Mapa final'!$A$21),"")</f>
        <v/>
      </c>
      <c r="U6" s="272"/>
      <c r="V6" s="270" t="str">
        <f>IF(AND('Mapa final'!$J$9="Muy Alta",'Mapa final'!$N$9="Moderado"),CONCATENATE("R",'Mapa final'!$A$9),"")</f>
        <v/>
      </c>
      <c r="W6" s="271"/>
      <c r="X6" s="271" t="str">
        <f>IF(AND('Mapa final'!$J$15="Muy Alta",'Mapa final'!$N$15="Moderado"),CONCATENATE("R",'Mapa final'!$A$15),"")</f>
        <v/>
      </c>
      <c r="Y6" s="271"/>
      <c r="Z6" s="271" t="str">
        <f>IF(AND('Mapa final'!$J$21="Muy Alta",'Mapa final'!$N$21="Moderado"),CONCATENATE("R",'Mapa final'!$A$21),"")</f>
        <v/>
      </c>
      <c r="AA6" s="272"/>
      <c r="AB6" s="270" t="str">
        <f>IF(AND('Mapa final'!$J$9="Muy Alta",'Mapa final'!$N$9="Mayor"),CONCATENATE("R",'Mapa final'!$A$9),"")</f>
        <v/>
      </c>
      <c r="AC6" s="271"/>
      <c r="AD6" s="271" t="str">
        <f>IF(AND('Mapa final'!$J$15="Muy Alta",'Mapa final'!$N$15="Mayor"),CONCATENATE("R",'Mapa final'!$A$15),"")</f>
        <v/>
      </c>
      <c r="AE6" s="271"/>
      <c r="AF6" s="271" t="str">
        <f>IF(AND('Mapa final'!$J$21="Muy Alta",'Mapa final'!$N$21="Mayor"),CONCATENATE("R",'Mapa final'!$A$21),"")</f>
        <v/>
      </c>
      <c r="AG6" s="272"/>
      <c r="AH6" s="260" t="str">
        <f>IF(AND('Mapa final'!$J$9="Muy Alta",'Mapa final'!$N$9="Catastrófico"),CONCATENATE("R",'Mapa final'!$A$9),"")</f>
        <v/>
      </c>
      <c r="AI6" s="261"/>
      <c r="AJ6" s="261" t="str">
        <f>IF(AND('Mapa final'!$J$15="Muy Alta",'Mapa final'!$N$15="Catastrófico"),CONCATENATE("R",'Mapa final'!$A$15),"")</f>
        <v/>
      </c>
      <c r="AK6" s="261"/>
      <c r="AL6" s="261" t="str">
        <f>IF(AND('Mapa final'!$J$21="Muy Alta",'Mapa final'!$N$21="Catastrófico"),CONCATENATE("R",'Mapa final'!$A$21),"")</f>
        <v/>
      </c>
      <c r="AM6" s="262"/>
      <c r="AO6" s="287" t="s">
        <v>75</v>
      </c>
      <c r="AP6" s="288"/>
      <c r="AQ6" s="288"/>
      <c r="AR6" s="288"/>
      <c r="AS6" s="288"/>
      <c r="AT6" s="289"/>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85"/>
      <c r="C7" s="285"/>
      <c r="D7" s="286"/>
      <c r="E7" s="277"/>
      <c r="F7" s="278"/>
      <c r="G7" s="278"/>
      <c r="H7" s="278"/>
      <c r="I7" s="279"/>
      <c r="J7" s="263"/>
      <c r="K7" s="264"/>
      <c r="L7" s="264"/>
      <c r="M7" s="264"/>
      <c r="N7" s="264"/>
      <c r="O7" s="266"/>
      <c r="P7" s="263"/>
      <c r="Q7" s="264"/>
      <c r="R7" s="264"/>
      <c r="S7" s="264"/>
      <c r="T7" s="264"/>
      <c r="U7" s="266"/>
      <c r="V7" s="263"/>
      <c r="W7" s="264"/>
      <c r="X7" s="264"/>
      <c r="Y7" s="264"/>
      <c r="Z7" s="264"/>
      <c r="AA7" s="266"/>
      <c r="AB7" s="263"/>
      <c r="AC7" s="264"/>
      <c r="AD7" s="264"/>
      <c r="AE7" s="264"/>
      <c r="AF7" s="264"/>
      <c r="AG7" s="266"/>
      <c r="AH7" s="254"/>
      <c r="AI7" s="255"/>
      <c r="AJ7" s="255"/>
      <c r="AK7" s="255"/>
      <c r="AL7" s="255"/>
      <c r="AM7" s="256"/>
      <c r="AN7" s="70"/>
      <c r="AO7" s="290"/>
      <c r="AP7" s="291"/>
      <c r="AQ7" s="291"/>
      <c r="AR7" s="291"/>
      <c r="AS7" s="291"/>
      <c r="AT7" s="292"/>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85"/>
      <c r="C8" s="285"/>
      <c r="D8" s="286"/>
      <c r="E8" s="277"/>
      <c r="F8" s="278"/>
      <c r="G8" s="278"/>
      <c r="H8" s="278"/>
      <c r="I8" s="279"/>
      <c r="J8" s="263" t="str">
        <f>IF(AND('Mapa final'!$J$27="Muy Alta",'Mapa final'!$N$27="Leve"),CONCATENATE("R",'Mapa final'!$A$27),"")</f>
        <v/>
      </c>
      <c r="K8" s="264"/>
      <c r="L8" s="265" t="str">
        <f>IF(AND('Mapa final'!$J$39="Muy Alta",'Mapa final'!$N$39="Leve"),CONCATENATE("R",'Mapa final'!$A$39),"")</f>
        <v/>
      </c>
      <c r="M8" s="265"/>
      <c r="N8" s="265" t="str">
        <f>IF(AND('Mapa final'!$J$45="Muy Alta",'Mapa final'!$N$45="Leve"),CONCATENATE("R",'Mapa final'!$A$45),"")</f>
        <v/>
      </c>
      <c r="O8" s="266"/>
      <c r="P8" s="263" t="str">
        <f>IF(AND('Mapa final'!$J$27="Muy Alta",'Mapa final'!$N$27="Menor"),CONCATENATE("R",'Mapa final'!$A$27),"")</f>
        <v/>
      </c>
      <c r="Q8" s="264"/>
      <c r="R8" s="265" t="str">
        <f>IF(AND('Mapa final'!$J$39="Muy Alta",'Mapa final'!$N$39="Menor"),CONCATENATE("R",'Mapa final'!$A$39),"")</f>
        <v/>
      </c>
      <c r="S8" s="265"/>
      <c r="T8" s="265" t="str">
        <f>IF(AND('Mapa final'!$J$45="Muy Alta",'Mapa final'!$N$45="Menor"),CONCATENATE("R",'Mapa final'!$A$45),"")</f>
        <v/>
      </c>
      <c r="U8" s="266"/>
      <c r="V8" s="263" t="str">
        <f>IF(AND('Mapa final'!$J$27="Muy Alta",'Mapa final'!$N$27="Moderado"),CONCATENATE("R",'Mapa final'!$A$27),"")</f>
        <v/>
      </c>
      <c r="W8" s="264"/>
      <c r="X8" s="265" t="str">
        <f>IF(AND('Mapa final'!$J$39="Muy Alta",'Mapa final'!$N$39="Moderado"),CONCATENATE("R",'Mapa final'!$A$39),"")</f>
        <v/>
      </c>
      <c r="Y8" s="265"/>
      <c r="Z8" s="265" t="str">
        <f>IF(AND('Mapa final'!$J$45="Muy Alta",'Mapa final'!$N$45="Moderado"),CONCATENATE("R",'Mapa final'!$A$45),"")</f>
        <v/>
      </c>
      <c r="AA8" s="266"/>
      <c r="AB8" s="263" t="str">
        <f>IF(AND('Mapa final'!$J$27="Muy Alta",'Mapa final'!$N$27="Mayor"),CONCATENATE("R",'Mapa final'!$A$27),"")</f>
        <v/>
      </c>
      <c r="AC8" s="264"/>
      <c r="AD8" s="265" t="str">
        <f>IF(AND('Mapa final'!$J$39="Muy Alta",'Mapa final'!$N$39="Mayor"),CONCATENATE("R",'Mapa final'!$A$39),"")</f>
        <v/>
      </c>
      <c r="AE8" s="265"/>
      <c r="AF8" s="265" t="str">
        <f>IF(AND('Mapa final'!$J$45="Muy Alta",'Mapa final'!$N$45="Mayor"),CONCATENATE("R",'Mapa final'!$A$45),"")</f>
        <v/>
      </c>
      <c r="AG8" s="266"/>
      <c r="AH8" s="254" t="str">
        <f>IF(AND('Mapa final'!$J$27="Muy Alta",'Mapa final'!$N$27="Catastrófico"),CONCATENATE("R",'Mapa final'!$A$27),"")</f>
        <v/>
      </c>
      <c r="AI8" s="255"/>
      <c r="AJ8" s="255" t="str">
        <f>IF(AND('Mapa final'!$J$39="Muy Alta",'Mapa final'!$N$39="Catastrófico"),CONCATENATE("R",'Mapa final'!$A$39),"")</f>
        <v/>
      </c>
      <c r="AK8" s="255"/>
      <c r="AL8" s="255" t="str">
        <f>IF(AND('Mapa final'!$J$45="Muy Alta",'Mapa final'!$N$45="Catastrófico"),CONCATENATE("R",'Mapa final'!$A$45),"")</f>
        <v/>
      </c>
      <c r="AM8" s="256"/>
      <c r="AN8" s="70"/>
      <c r="AO8" s="290"/>
      <c r="AP8" s="291"/>
      <c r="AQ8" s="291"/>
      <c r="AR8" s="291"/>
      <c r="AS8" s="291"/>
      <c r="AT8" s="292"/>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85"/>
      <c r="C9" s="285"/>
      <c r="D9" s="286"/>
      <c r="E9" s="277"/>
      <c r="F9" s="278"/>
      <c r="G9" s="278"/>
      <c r="H9" s="278"/>
      <c r="I9" s="279"/>
      <c r="J9" s="263"/>
      <c r="K9" s="264"/>
      <c r="L9" s="265"/>
      <c r="M9" s="265"/>
      <c r="N9" s="265"/>
      <c r="O9" s="266"/>
      <c r="P9" s="263"/>
      <c r="Q9" s="264"/>
      <c r="R9" s="265"/>
      <c r="S9" s="265"/>
      <c r="T9" s="265"/>
      <c r="U9" s="266"/>
      <c r="V9" s="263"/>
      <c r="W9" s="264"/>
      <c r="X9" s="265"/>
      <c r="Y9" s="265"/>
      <c r="Z9" s="265"/>
      <c r="AA9" s="266"/>
      <c r="AB9" s="263"/>
      <c r="AC9" s="264"/>
      <c r="AD9" s="265"/>
      <c r="AE9" s="265"/>
      <c r="AF9" s="265"/>
      <c r="AG9" s="266"/>
      <c r="AH9" s="254"/>
      <c r="AI9" s="255"/>
      <c r="AJ9" s="255"/>
      <c r="AK9" s="255"/>
      <c r="AL9" s="255"/>
      <c r="AM9" s="256"/>
      <c r="AN9" s="70"/>
      <c r="AO9" s="290"/>
      <c r="AP9" s="291"/>
      <c r="AQ9" s="291"/>
      <c r="AR9" s="291"/>
      <c r="AS9" s="291"/>
      <c r="AT9" s="292"/>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85"/>
      <c r="C10" s="285"/>
      <c r="D10" s="286"/>
      <c r="E10" s="277"/>
      <c r="F10" s="278"/>
      <c r="G10" s="278"/>
      <c r="H10" s="278"/>
      <c r="I10" s="279"/>
      <c r="J10" s="263" t="str">
        <f>IF(AND('Mapa final'!$J$51="Muy Alta",'Mapa final'!$N$51="Leve"),CONCATENATE("R",'Mapa final'!$A$51),"")</f>
        <v/>
      </c>
      <c r="K10" s="264"/>
      <c r="L10" s="265" t="str">
        <f>IF(AND('Mapa final'!$J$57="Muy Alta",'Mapa final'!$N$57="Leve"),CONCATENATE("R",'Mapa final'!$A$57),"")</f>
        <v/>
      </c>
      <c r="M10" s="265"/>
      <c r="N10" s="265" t="str">
        <f>IF(AND('Mapa final'!$J$63="Muy Alta",'Mapa final'!$N$63="Leve"),CONCATENATE("R",'Mapa final'!$A$63),"")</f>
        <v/>
      </c>
      <c r="O10" s="266"/>
      <c r="P10" s="263" t="str">
        <f>IF(AND('Mapa final'!$J$51="Muy Alta",'Mapa final'!$N$51="Menor"),CONCATENATE("R",'Mapa final'!$A$51),"")</f>
        <v/>
      </c>
      <c r="Q10" s="264"/>
      <c r="R10" s="265" t="str">
        <f>IF(AND('Mapa final'!$J$57="Muy Alta",'Mapa final'!$N$57="Menor"),CONCATENATE("R",'Mapa final'!$A$57),"")</f>
        <v/>
      </c>
      <c r="S10" s="265"/>
      <c r="T10" s="265" t="str">
        <f>IF(AND('Mapa final'!$J$63="Muy Alta",'Mapa final'!$N$63="Menor"),CONCATENATE("R",'Mapa final'!$A$63),"")</f>
        <v/>
      </c>
      <c r="U10" s="266"/>
      <c r="V10" s="263" t="str">
        <f>IF(AND('Mapa final'!$J$51="Muy Alta",'Mapa final'!$N$51="Moderado"),CONCATENATE("R",'Mapa final'!$A$51),"")</f>
        <v/>
      </c>
      <c r="W10" s="264"/>
      <c r="X10" s="265" t="str">
        <f>IF(AND('Mapa final'!$J$57="Muy Alta",'Mapa final'!$N$57="Moderado"),CONCATENATE("R",'Mapa final'!$A$57),"")</f>
        <v/>
      </c>
      <c r="Y10" s="265"/>
      <c r="Z10" s="265" t="str">
        <f>IF(AND('Mapa final'!$J$63="Muy Alta",'Mapa final'!$N$63="Moderado"),CONCATENATE("R",'Mapa final'!$A$63),"")</f>
        <v/>
      </c>
      <c r="AA10" s="266"/>
      <c r="AB10" s="263" t="str">
        <f>IF(AND('Mapa final'!$J$51="Muy Alta",'Mapa final'!$N$51="Mayor"),CONCATENATE("R",'Mapa final'!$A$51),"")</f>
        <v/>
      </c>
      <c r="AC10" s="264"/>
      <c r="AD10" s="265" t="str">
        <f>IF(AND('Mapa final'!$J$57="Muy Alta",'Mapa final'!$N$57="Mayor"),CONCATENATE("R",'Mapa final'!$A$57),"")</f>
        <v/>
      </c>
      <c r="AE10" s="265"/>
      <c r="AF10" s="265" t="str">
        <f>IF(AND('Mapa final'!$J$63="Muy Alta",'Mapa final'!$N$63="Mayor"),CONCATENATE("R",'Mapa final'!$A$63),"")</f>
        <v/>
      </c>
      <c r="AG10" s="266"/>
      <c r="AH10" s="254" t="str">
        <f>IF(AND('Mapa final'!$J$51="Muy Alta",'Mapa final'!$N$51="Catastrófico"),CONCATENATE("R",'Mapa final'!$A$51),"")</f>
        <v/>
      </c>
      <c r="AI10" s="255"/>
      <c r="AJ10" s="255" t="str">
        <f>IF(AND('Mapa final'!$J$57="Muy Alta",'Mapa final'!$N$57="Catastrófico"),CONCATENATE("R",'Mapa final'!$A$57),"")</f>
        <v/>
      </c>
      <c r="AK10" s="255"/>
      <c r="AL10" s="255" t="str">
        <f>IF(AND('Mapa final'!$J$63="Muy Alta",'Mapa final'!$N$63="Catastrófico"),CONCATENATE("R",'Mapa final'!$A$63),"")</f>
        <v/>
      </c>
      <c r="AM10" s="256"/>
      <c r="AN10" s="70"/>
      <c r="AO10" s="290"/>
      <c r="AP10" s="291"/>
      <c r="AQ10" s="291"/>
      <c r="AR10" s="291"/>
      <c r="AS10" s="291"/>
      <c r="AT10" s="292"/>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85"/>
      <c r="C11" s="285"/>
      <c r="D11" s="286"/>
      <c r="E11" s="277"/>
      <c r="F11" s="278"/>
      <c r="G11" s="278"/>
      <c r="H11" s="278"/>
      <c r="I11" s="279"/>
      <c r="J11" s="263"/>
      <c r="K11" s="264"/>
      <c r="L11" s="265"/>
      <c r="M11" s="265"/>
      <c r="N11" s="265"/>
      <c r="O11" s="266"/>
      <c r="P11" s="263"/>
      <c r="Q11" s="264"/>
      <c r="R11" s="265"/>
      <c r="S11" s="265"/>
      <c r="T11" s="265"/>
      <c r="U11" s="266"/>
      <c r="V11" s="263"/>
      <c r="W11" s="264"/>
      <c r="X11" s="265"/>
      <c r="Y11" s="265"/>
      <c r="Z11" s="265"/>
      <c r="AA11" s="266"/>
      <c r="AB11" s="263"/>
      <c r="AC11" s="264"/>
      <c r="AD11" s="265"/>
      <c r="AE11" s="265"/>
      <c r="AF11" s="265"/>
      <c r="AG11" s="266"/>
      <c r="AH11" s="254"/>
      <c r="AI11" s="255"/>
      <c r="AJ11" s="255"/>
      <c r="AK11" s="255"/>
      <c r="AL11" s="255"/>
      <c r="AM11" s="256"/>
      <c r="AN11" s="70"/>
      <c r="AO11" s="290"/>
      <c r="AP11" s="291"/>
      <c r="AQ11" s="291"/>
      <c r="AR11" s="291"/>
      <c r="AS11" s="291"/>
      <c r="AT11" s="292"/>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85"/>
      <c r="C12" s="285"/>
      <c r="D12" s="286"/>
      <c r="E12" s="277"/>
      <c r="F12" s="278"/>
      <c r="G12" s="278"/>
      <c r="H12" s="278"/>
      <c r="I12" s="279"/>
      <c r="J12" s="263" t="str">
        <f>IF(AND('Mapa final'!$J$69="Muy Alta",'Mapa final'!$N$69="Leve"),CONCATENATE("R",'Mapa final'!$A$69),"")</f>
        <v/>
      </c>
      <c r="K12" s="264"/>
      <c r="L12" s="265" t="str">
        <f>IF(AND('Mapa final'!$J$76="Muy Alta",'Mapa final'!$N$76="Leve"),CONCATENATE("R",'Mapa final'!$A$76),"")</f>
        <v/>
      </c>
      <c r="M12" s="265"/>
      <c r="N12" s="265" t="str">
        <f>IF(AND('Mapa final'!$J$82="Muy Alta",'Mapa final'!$N$82="Leve"),CONCATENATE("R",'Mapa final'!$A$82),"")</f>
        <v/>
      </c>
      <c r="O12" s="266"/>
      <c r="P12" s="263" t="str">
        <f>IF(AND('Mapa final'!$J$69="Muy Alta",'Mapa final'!$N$69="Menor"),CONCATENATE("R",'Mapa final'!$A$69),"")</f>
        <v/>
      </c>
      <c r="Q12" s="264"/>
      <c r="R12" s="265" t="str">
        <f>IF(AND('Mapa final'!$J$76="Muy Alta",'Mapa final'!$N$76="Menor"),CONCATENATE("R",'Mapa final'!$A$76),"")</f>
        <v/>
      </c>
      <c r="S12" s="265"/>
      <c r="T12" s="265" t="str">
        <f>IF(AND('Mapa final'!$J$82="Muy Alta",'Mapa final'!$N$82="Menor"),CONCATENATE("R",'Mapa final'!$A$82),"")</f>
        <v/>
      </c>
      <c r="U12" s="266"/>
      <c r="V12" s="263" t="str">
        <f>IF(AND('Mapa final'!$J$69="Muy Alta",'Mapa final'!$N$69="Moderado"),CONCATENATE("R",'Mapa final'!$A$69),"")</f>
        <v/>
      </c>
      <c r="W12" s="264"/>
      <c r="X12" s="265" t="str">
        <f>IF(AND('Mapa final'!$J$76="Muy Alta",'Mapa final'!$N$76="Moderado"),CONCATENATE("R",'Mapa final'!$A$76),"")</f>
        <v/>
      </c>
      <c r="Y12" s="265"/>
      <c r="Z12" s="265" t="str">
        <f>IF(AND('Mapa final'!$J$82="Muy Alta",'Mapa final'!$N$82="Moderado"),CONCATENATE("R",'Mapa final'!$A$82),"")</f>
        <v/>
      </c>
      <c r="AA12" s="266"/>
      <c r="AB12" s="263" t="str">
        <f>IF(AND('Mapa final'!$J$69="Muy Alta",'Mapa final'!$N$69="Mayor"),CONCATENATE("R",'Mapa final'!$A$69),"")</f>
        <v/>
      </c>
      <c r="AC12" s="264"/>
      <c r="AD12" s="265" t="str">
        <f>IF(AND('Mapa final'!$J$76="Muy Alta",'Mapa final'!$N$76="Mayor"),CONCATENATE("R",'Mapa final'!$A$76),"")</f>
        <v/>
      </c>
      <c r="AE12" s="265"/>
      <c r="AF12" s="265" t="str">
        <f>IF(AND('Mapa final'!$J$82="Muy Alta",'Mapa final'!$N$82="Mayor"),CONCATENATE("R",'Mapa final'!$A$82),"")</f>
        <v/>
      </c>
      <c r="AG12" s="266"/>
      <c r="AH12" s="254" t="str">
        <f>IF(AND('Mapa final'!$J$69="Muy Alta",'Mapa final'!$N$69="Catastrófico"),CONCATENATE("R",'Mapa final'!$A$69),"")</f>
        <v/>
      </c>
      <c r="AI12" s="255"/>
      <c r="AJ12" s="255" t="str">
        <f>IF(AND('Mapa final'!$J$76="Muy Alta",'Mapa final'!$N$76="Catastrófico"),CONCATENATE("R",'Mapa final'!$A$76),"")</f>
        <v/>
      </c>
      <c r="AK12" s="255"/>
      <c r="AL12" s="255" t="str">
        <f>IF(AND('Mapa final'!$J$82="Muy Alta",'Mapa final'!$N$82="Catastrófico"),CONCATENATE("R",'Mapa final'!$A$82),"")</f>
        <v/>
      </c>
      <c r="AM12" s="256"/>
      <c r="AN12" s="70"/>
      <c r="AO12" s="290"/>
      <c r="AP12" s="291"/>
      <c r="AQ12" s="291"/>
      <c r="AR12" s="291"/>
      <c r="AS12" s="291"/>
      <c r="AT12" s="292"/>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85"/>
      <c r="C13" s="285"/>
      <c r="D13" s="286"/>
      <c r="E13" s="280"/>
      <c r="F13" s="281"/>
      <c r="G13" s="281"/>
      <c r="H13" s="281"/>
      <c r="I13" s="282"/>
      <c r="J13" s="263"/>
      <c r="K13" s="264"/>
      <c r="L13" s="264"/>
      <c r="M13" s="264"/>
      <c r="N13" s="264"/>
      <c r="O13" s="266"/>
      <c r="P13" s="263"/>
      <c r="Q13" s="264"/>
      <c r="R13" s="264"/>
      <c r="S13" s="264"/>
      <c r="T13" s="264"/>
      <c r="U13" s="266"/>
      <c r="V13" s="263"/>
      <c r="W13" s="264"/>
      <c r="X13" s="264"/>
      <c r="Y13" s="264"/>
      <c r="Z13" s="264"/>
      <c r="AA13" s="266"/>
      <c r="AB13" s="263"/>
      <c r="AC13" s="264"/>
      <c r="AD13" s="264"/>
      <c r="AE13" s="264"/>
      <c r="AF13" s="264"/>
      <c r="AG13" s="266"/>
      <c r="AH13" s="257"/>
      <c r="AI13" s="258"/>
      <c r="AJ13" s="258"/>
      <c r="AK13" s="258"/>
      <c r="AL13" s="258"/>
      <c r="AM13" s="259"/>
      <c r="AN13" s="70"/>
      <c r="AO13" s="293"/>
      <c r="AP13" s="294"/>
      <c r="AQ13" s="294"/>
      <c r="AR13" s="294"/>
      <c r="AS13" s="294"/>
      <c r="AT13" s="295"/>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85"/>
      <c r="C14" s="285"/>
      <c r="D14" s="286"/>
      <c r="E14" s="274" t="s">
        <v>111</v>
      </c>
      <c r="F14" s="275"/>
      <c r="G14" s="275"/>
      <c r="H14" s="275"/>
      <c r="I14" s="275"/>
      <c r="J14" s="251" t="str">
        <f>IF(AND('Mapa final'!$J$9="Alta",'Mapa final'!$N$9="Leve"),CONCATENATE("R",'Mapa final'!$A$9),"")</f>
        <v/>
      </c>
      <c r="K14" s="252"/>
      <c r="L14" s="252" t="str">
        <f>IF(AND('Mapa final'!$J$15="Alta",'Mapa final'!$N$15="Leve"),CONCATENATE("R",'Mapa final'!$A$15),"")</f>
        <v/>
      </c>
      <c r="M14" s="252"/>
      <c r="N14" s="252" t="str">
        <f>IF(AND('Mapa final'!$J$21="Alta",'Mapa final'!$N$21="Leve"),CONCATENATE("R",'Mapa final'!$A$21),"")</f>
        <v/>
      </c>
      <c r="O14" s="253"/>
      <c r="P14" s="251" t="str">
        <f>IF(AND('Mapa final'!$J$9="Alta",'Mapa final'!$N$9="Menor"),CONCATENATE("R",'Mapa final'!$A$9),"")</f>
        <v/>
      </c>
      <c r="Q14" s="252"/>
      <c r="R14" s="252" t="str">
        <f>IF(AND('Mapa final'!$J$15="Alta",'Mapa final'!$N$15="Menor"),CONCATENATE("R",'Mapa final'!$A$15),"")</f>
        <v/>
      </c>
      <c r="S14" s="252"/>
      <c r="T14" s="252" t="str">
        <f>IF(AND('Mapa final'!$J$21="Alta",'Mapa final'!$N$21="Menor"),CONCATENATE("R",'Mapa final'!$A$21),"")</f>
        <v/>
      </c>
      <c r="U14" s="253"/>
      <c r="V14" s="270" t="str">
        <f>IF(AND('Mapa final'!$J$9="Alta",'Mapa final'!$N$9="Moderado"),CONCATENATE("R",'Mapa final'!$A$9),"")</f>
        <v/>
      </c>
      <c r="W14" s="271"/>
      <c r="X14" s="271" t="str">
        <f>IF(AND('Mapa final'!$J$15="Alta",'Mapa final'!$N$15="Moderado"),CONCATENATE("R",'Mapa final'!$A$15),"")</f>
        <v/>
      </c>
      <c r="Y14" s="271"/>
      <c r="Z14" s="271" t="str">
        <f>IF(AND('Mapa final'!$J$21="Alta",'Mapa final'!$N$21="Moderado"),CONCATENATE("R",'Mapa final'!$A$21),"")</f>
        <v/>
      </c>
      <c r="AA14" s="272"/>
      <c r="AB14" s="270" t="str">
        <f>IF(AND('Mapa final'!$J$9="Alta",'Mapa final'!$N$9="Mayor"),CONCATENATE("R",'Mapa final'!$A$9),"")</f>
        <v/>
      </c>
      <c r="AC14" s="271"/>
      <c r="AD14" s="271" t="str">
        <f>IF(AND('Mapa final'!$J$15="Alta",'Mapa final'!$N$15="Mayor"),CONCATENATE("R",'Mapa final'!$A$15),"")</f>
        <v/>
      </c>
      <c r="AE14" s="271"/>
      <c r="AF14" s="271" t="str">
        <f>IF(AND('Mapa final'!$J$21="Alta",'Mapa final'!$N$21="Mayor"),CONCATENATE("R",'Mapa final'!$A$21),"")</f>
        <v/>
      </c>
      <c r="AG14" s="272"/>
      <c r="AH14" s="260" t="str">
        <f>IF(AND('Mapa final'!$J$9="Alta",'Mapa final'!$N$9="Catastrófico"),CONCATENATE("R",'Mapa final'!$A$9),"")</f>
        <v/>
      </c>
      <c r="AI14" s="261"/>
      <c r="AJ14" s="261" t="str">
        <f>IF(AND('Mapa final'!$J$15="Alta",'Mapa final'!$N$15="Catastrófico"),CONCATENATE("R",'Mapa final'!$A$15),"")</f>
        <v/>
      </c>
      <c r="AK14" s="261"/>
      <c r="AL14" s="261" t="str">
        <f>IF(AND('Mapa final'!$J$21="Alta",'Mapa final'!$N$21="Catastrófico"),CONCATENATE("R",'Mapa final'!$A$21),"")</f>
        <v/>
      </c>
      <c r="AM14" s="262"/>
      <c r="AN14" s="70"/>
      <c r="AO14" s="296" t="s">
        <v>76</v>
      </c>
      <c r="AP14" s="297"/>
      <c r="AQ14" s="297"/>
      <c r="AR14" s="297"/>
      <c r="AS14" s="297"/>
      <c r="AT14" s="298"/>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85"/>
      <c r="C15" s="285"/>
      <c r="D15" s="286"/>
      <c r="E15" s="277"/>
      <c r="F15" s="278"/>
      <c r="G15" s="278"/>
      <c r="H15" s="278"/>
      <c r="I15" s="283"/>
      <c r="J15" s="245"/>
      <c r="K15" s="246"/>
      <c r="L15" s="246"/>
      <c r="M15" s="246"/>
      <c r="N15" s="246"/>
      <c r="O15" s="247"/>
      <c r="P15" s="245"/>
      <c r="Q15" s="246"/>
      <c r="R15" s="246"/>
      <c r="S15" s="246"/>
      <c r="T15" s="246"/>
      <c r="U15" s="247"/>
      <c r="V15" s="263"/>
      <c r="W15" s="264"/>
      <c r="X15" s="264"/>
      <c r="Y15" s="264"/>
      <c r="Z15" s="264"/>
      <c r="AA15" s="266"/>
      <c r="AB15" s="263"/>
      <c r="AC15" s="264"/>
      <c r="AD15" s="264"/>
      <c r="AE15" s="264"/>
      <c r="AF15" s="264"/>
      <c r="AG15" s="266"/>
      <c r="AH15" s="254"/>
      <c r="AI15" s="255"/>
      <c r="AJ15" s="255"/>
      <c r="AK15" s="255"/>
      <c r="AL15" s="255"/>
      <c r="AM15" s="256"/>
      <c r="AN15" s="70"/>
      <c r="AO15" s="299"/>
      <c r="AP15" s="300"/>
      <c r="AQ15" s="300"/>
      <c r="AR15" s="300"/>
      <c r="AS15" s="300"/>
      <c r="AT15" s="301"/>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85"/>
      <c r="C16" s="285"/>
      <c r="D16" s="286"/>
      <c r="E16" s="277"/>
      <c r="F16" s="278"/>
      <c r="G16" s="278"/>
      <c r="H16" s="278"/>
      <c r="I16" s="283"/>
      <c r="J16" s="245" t="str">
        <f>IF(AND('Mapa final'!$J$27="Alta",'Mapa final'!$N$27="Leve"),CONCATENATE("R",'Mapa final'!$A$27),"")</f>
        <v/>
      </c>
      <c r="K16" s="246"/>
      <c r="L16" s="246" t="str">
        <f>IF(AND('Mapa final'!$J$39="Alta",'Mapa final'!$N$39="Leve"),CONCATENATE("R",'Mapa final'!$A$39),"")</f>
        <v/>
      </c>
      <c r="M16" s="246"/>
      <c r="N16" s="246" t="str">
        <f>IF(AND('Mapa final'!$J$45="Alta",'Mapa final'!$N$45="Leve"),CONCATENATE("R",'Mapa final'!$A$45),"")</f>
        <v/>
      </c>
      <c r="O16" s="247"/>
      <c r="P16" s="245" t="str">
        <f>IF(AND('Mapa final'!$J$27="Alta",'Mapa final'!$N$27="Menor"),CONCATENATE("R",'Mapa final'!$A$27),"")</f>
        <v/>
      </c>
      <c r="Q16" s="246"/>
      <c r="R16" s="246" t="str">
        <f>IF(AND('Mapa final'!$J$39="Alta",'Mapa final'!$N$39="Menor"),CONCATENATE("R",'Mapa final'!$A$39),"")</f>
        <v/>
      </c>
      <c r="S16" s="246"/>
      <c r="T16" s="246" t="str">
        <f>IF(AND('Mapa final'!$J$45="Alta",'Mapa final'!$N$45="Menor"),CONCATENATE("R",'Mapa final'!$A$45),"")</f>
        <v/>
      </c>
      <c r="U16" s="247"/>
      <c r="V16" s="263" t="str">
        <f>IF(AND('Mapa final'!$J$27="Alta",'Mapa final'!$N$27="Moderado"),CONCATENATE("R",'Mapa final'!$A$27),"")</f>
        <v/>
      </c>
      <c r="W16" s="264"/>
      <c r="X16" s="265" t="str">
        <f>IF(AND('Mapa final'!$J$39="Alta",'Mapa final'!$N$39="Moderado"),CONCATENATE("R",'Mapa final'!$A$39),"")</f>
        <v/>
      </c>
      <c r="Y16" s="265"/>
      <c r="Z16" s="265" t="str">
        <f>IF(AND('Mapa final'!$J$45="Alta",'Mapa final'!$N$45="Moderado"),CONCATENATE("R",'Mapa final'!$A$45),"")</f>
        <v/>
      </c>
      <c r="AA16" s="266"/>
      <c r="AB16" s="263" t="str">
        <f>IF(AND('Mapa final'!$J$27="Alta",'Mapa final'!$N$27="Mayor"),CONCATENATE("R",'Mapa final'!$A$27),"")</f>
        <v/>
      </c>
      <c r="AC16" s="264"/>
      <c r="AD16" s="265" t="str">
        <f>IF(AND('Mapa final'!$J$39="Alta",'Mapa final'!$N$39="Mayor"),CONCATENATE("R",'Mapa final'!$A$39),"")</f>
        <v/>
      </c>
      <c r="AE16" s="265"/>
      <c r="AF16" s="265" t="str">
        <f>IF(AND('Mapa final'!$J$45="Alta",'Mapa final'!$N$45="Mayor"),CONCATENATE("R",'Mapa final'!$A$45),"")</f>
        <v/>
      </c>
      <c r="AG16" s="266"/>
      <c r="AH16" s="254" t="str">
        <f>IF(AND('Mapa final'!$J$27="Alta",'Mapa final'!$N$27="Catastrófico"),CONCATENATE("R",'Mapa final'!$A$27),"")</f>
        <v/>
      </c>
      <c r="AI16" s="255"/>
      <c r="AJ16" s="255" t="str">
        <f>IF(AND('Mapa final'!$J$39="Alta",'Mapa final'!$N$39="Catastrófico"),CONCATENATE("R",'Mapa final'!$A$39),"")</f>
        <v/>
      </c>
      <c r="AK16" s="255"/>
      <c r="AL16" s="255" t="str">
        <f>IF(AND('Mapa final'!$J$45="Alta",'Mapa final'!$N$45="Catastrófico"),CONCATENATE("R",'Mapa final'!$A$45),"")</f>
        <v/>
      </c>
      <c r="AM16" s="256"/>
      <c r="AN16" s="70"/>
      <c r="AO16" s="299"/>
      <c r="AP16" s="300"/>
      <c r="AQ16" s="300"/>
      <c r="AR16" s="300"/>
      <c r="AS16" s="300"/>
      <c r="AT16" s="30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85"/>
      <c r="C17" s="285"/>
      <c r="D17" s="286"/>
      <c r="E17" s="277"/>
      <c r="F17" s="278"/>
      <c r="G17" s="278"/>
      <c r="H17" s="278"/>
      <c r="I17" s="283"/>
      <c r="J17" s="245"/>
      <c r="K17" s="246"/>
      <c r="L17" s="246"/>
      <c r="M17" s="246"/>
      <c r="N17" s="246"/>
      <c r="O17" s="247"/>
      <c r="P17" s="245"/>
      <c r="Q17" s="246"/>
      <c r="R17" s="246"/>
      <c r="S17" s="246"/>
      <c r="T17" s="246"/>
      <c r="U17" s="247"/>
      <c r="V17" s="263"/>
      <c r="W17" s="264"/>
      <c r="X17" s="265"/>
      <c r="Y17" s="265"/>
      <c r="Z17" s="265"/>
      <c r="AA17" s="266"/>
      <c r="AB17" s="263"/>
      <c r="AC17" s="264"/>
      <c r="AD17" s="265"/>
      <c r="AE17" s="265"/>
      <c r="AF17" s="265"/>
      <c r="AG17" s="266"/>
      <c r="AH17" s="254"/>
      <c r="AI17" s="255"/>
      <c r="AJ17" s="255"/>
      <c r="AK17" s="255"/>
      <c r="AL17" s="255"/>
      <c r="AM17" s="256"/>
      <c r="AN17" s="70"/>
      <c r="AO17" s="299"/>
      <c r="AP17" s="300"/>
      <c r="AQ17" s="300"/>
      <c r="AR17" s="300"/>
      <c r="AS17" s="300"/>
      <c r="AT17" s="301"/>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85"/>
      <c r="C18" s="285"/>
      <c r="D18" s="286"/>
      <c r="E18" s="277"/>
      <c r="F18" s="278"/>
      <c r="G18" s="278"/>
      <c r="H18" s="278"/>
      <c r="I18" s="283"/>
      <c r="J18" s="245" t="str">
        <f>IF(AND('Mapa final'!$J$51="Alta",'Mapa final'!$N$51="Leve"),CONCATENATE("R",'Mapa final'!$A$51),"")</f>
        <v/>
      </c>
      <c r="K18" s="246"/>
      <c r="L18" s="246" t="str">
        <f>IF(AND('Mapa final'!$J$57="Alta",'Mapa final'!$N$57="Leve"),CONCATENATE("R",'Mapa final'!$A$57),"")</f>
        <v/>
      </c>
      <c r="M18" s="246"/>
      <c r="N18" s="246" t="str">
        <f>IF(AND('Mapa final'!$J$63="Alta",'Mapa final'!$N$63="Leve"),CONCATENATE("R",'Mapa final'!$A$63),"")</f>
        <v/>
      </c>
      <c r="O18" s="247"/>
      <c r="P18" s="245" t="str">
        <f>IF(AND('Mapa final'!$J$51="Alta",'Mapa final'!$N$51="Menor"),CONCATENATE("R",'Mapa final'!$A$51),"")</f>
        <v/>
      </c>
      <c r="Q18" s="246"/>
      <c r="R18" s="246" t="str">
        <f>IF(AND('Mapa final'!$J$57="Alta",'Mapa final'!$N$57="Menor"),CONCATENATE("R",'Mapa final'!$A$57),"")</f>
        <v/>
      </c>
      <c r="S18" s="246"/>
      <c r="T18" s="246" t="str">
        <f>IF(AND('Mapa final'!$J$63="Alta",'Mapa final'!$N$63="Menor"),CONCATENATE("R",'Mapa final'!$A$63),"")</f>
        <v/>
      </c>
      <c r="U18" s="247"/>
      <c r="V18" s="263" t="str">
        <f>IF(AND('Mapa final'!$J$51="Alta",'Mapa final'!$N$51="Moderado"),CONCATENATE("R",'Mapa final'!$A$51),"")</f>
        <v/>
      </c>
      <c r="W18" s="264"/>
      <c r="X18" s="265" t="str">
        <f>IF(AND('Mapa final'!$J$57="Alta",'Mapa final'!$N$57="Moderado"),CONCATENATE("R",'Mapa final'!$A$57),"")</f>
        <v/>
      </c>
      <c r="Y18" s="265"/>
      <c r="Z18" s="265" t="str">
        <f>IF(AND('Mapa final'!$J$63="Alta",'Mapa final'!$N$63="Moderado"),CONCATENATE("R",'Mapa final'!$A$63),"")</f>
        <v/>
      </c>
      <c r="AA18" s="266"/>
      <c r="AB18" s="263" t="str">
        <f>IF(AND('Mapa final'!$J$51="Alta",'Mapa final'!$N$51="Mayor"),CONCATENATE("R",'Mapa final'!$A$51),"")</f>
        <v/>
      </c>
      <c r="AC18" s="264"/>
      <c r="AD18" s="265" t="str">
        <f>IF(AND('Mapa final'!$J$57="Alta",'Mapa final'!$N$57="Mayor"),CONCATENATE("R",'Mapa final'!$A$57),"")</f>
        <v/>
      </c>
      <c r="AE18" s="265"/>
      <c r="AF18" s="265" t="str">
        <f>IF(AND('Mapa final'!$J$63="Alta",'Mapa final'!$N$63="Mayor"),CONCATENATE("R",'Mapa final'!$A$63),"")</f>
        <v/>
      </c>
      <c r="AG18" s="266"/>
      <c r="AH18" s="254" t="str">
        <f>IF(AND('Mapa final'!$J$51="Alta",'Mapa final'!$N$51="Catastrófico"),CONCATENATE("R",'Mapa final'!$A$51),"")</f>
        <v/>
      </c>
      <c r="AI18" s="255"/>
      <c r="AJ18" s="255" t="str">
        <f>IF(AND('Mapa final'!$J$57="Alta",'Mapa final'!$N$57="Catastrófico"),CONCATENATE("R",'Mapa final'!$A$57),"")</f>
        <v/>
      </c>
      <c r="AK18" s="255"/>
      <c r="AL18" s="255" t="str">
        <f>IF(AND('Mapa final'!$J$63="Alta",'Mapa final'!$N$63="Catastrófico"),CONCATENATE("R",'Mapa final'!$A$63),"")</f>
        <v/>
      </c>
      <c r="AM18" s="256"/>
      <c r="AN18" s="70"/>
      <c r="AO18" s="299"/>
      <c r="AP18" s="300"/>
      <c r="AQ18" s="300"/>
      <c r="AR18" s="300"/>
      <c r="AS18" s="300"/>
      <c r="AT18" s="301"/>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85"/>
      <c r="C19" s="285"/>
      <c r="D19" s="286"/>
      <c r="E19" s="277"/>
      <c r="F19" s="278"/>
      <c r="G19" s="278"/>
      <c r="H19" s="278"/>
      <c r="I19" s="283"/>
      <c r="J19" s="245"/>
      <c r="K19" s="246"/>
      <c r="L19" s="246"/>
      <c r="M19" s="246"/>
      <c r="N19" s="246"/>
      <c r="O19" s="247"/>
      <c r="P19" s="245"/>
      <c r="Q19" s="246"/>
      <c r="R19" s="246"/>
      <c r="S19" s="246"/>
      <c r="T19" s="246"/>
      <c r="U19" s="247"/>
      <c r="V19" s="263"/>
      <c r="W19" s="264"/>
      <c r="X19" s="265"/>
      <c r="Y19" s="265"/>
      <c r="Z19" s="265"/>
      <c r="AA19" s="266"/>
      <c r="AB19" s="263"/>
      <c r="AC19" s="264"/>
      <c r="AD19" s="265"/>
      <c r="AE19" s="265"/>
      <c r="AF19" s="265"/>
      <c r="AG19" s="266"/>
      <c r="AH19" s="254"/>
      <c r="AI19" s="255"/>
      <c r="AJ19" s="255"/>
      <c r="AK19" s="255"/>
      <c r="AL19" s="255"/>
      <c r="AM19" s="256"/>
      <c r="AN19" s="70"/>
      <c r="AO19" s="299"/>
      <c r="AP19" s="300"/>
      <c r="AQ19" s="300"/>
      <c r="AR19" s="300"/>
      <c r="AS19" s="300"/>
      <c r="AT19" s="301"/>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85"/>
      <c r="C20" s="285"/>
      <c r="D20" s="286"/>
      <c r="E20" s="277"/>
      <c r="F20" s="278"/>
      <c r="G20" s="278"/>
      <c r="H20" s="278"/>
      <c r="I20" s="283"/>
      <c r="J20" s="245" t="str">
        <f>IF(AND('Mapa final'!$J$69="Alta",'Mapa final'!$N$69="Leve"),CONCATENATE("R",'Mapa final'!$A$69),"")</f>
        <v/>
      </c>
      <c r="K20" s="246"/>
      <c r="L20" s="246" t="str">
        <f>IF(AND('Mapa final'!$J$76="Alta",'Mapa final'!$N$76="Leve"),CONCATENATE("R",'Mapa final'!$A$76),"")</f>
        <v/>
      </c>
      <c r="M20" s="246"/>
      <c r="N20" s="246" t="str">
        <f>IF(AND('Mapa final'!$J$82="Alta",'Mapa final'!$N$82="Leve"),CONCATENATE("R",'Mapa final'!$A$82),"")</f>
        <v/>
      </c>
      <c r="O20" s="247"/>
      <c r="P20" s="245" t="str">
        <f>IF(AND('Mapa final'!$J$69="Alta",'Mapa final'!$N$69="Menor"),CONCATENATE("R",'Mapa final'!$A$69),"")</f>
        <v/>
      </c>
      <c r="Q20" s="246"/>
      <c r="R20" s="246" t="str">
        <f>IF(AND('Mapa final'!$J$76="Alta",'Mapa final'!$N$76="Menor"),CONCATENATE("R",'Mapa final'!$A$76),"")</f>
        <v/>
      </c>
      <c r="S20" s="246"/>
      <c r="T20" s="246" t="str">
        <f>IF(AND('Mapa final'!$J$82="Alta",'Mapa final'!$N$82="Menor"),CONCATENATE("R",'Mapa final'!$A$82),"")</f>
        <v/>
      </c>
      <c r="U20" s="247"/>
      <c r="V20" s="263" t="str">
        <f>IF(AND('Mapa final'!$J$69="Alta",'Mapa final'!$N$69="Moderado"),CONCATENATE("R",'Mapa final'!$A$69),"")</f>
        <v/>
      </c>
      <c r="W20" s="264"/>
      <c r="X20" s="265" t="str">
        <f>IF(AND('Mapa final'!$J$76="Alta",'Mapa final'!$N$76="Moderado"),CONCATENATE("R",'Mapa final'!$A$76),"")</f>
        <v/>
      </c>
      <c r="Y20" s="265"/>
      <c r="Z20" s="265" t="str">
        <f>IF(AND('Mapa final'!$J$82="Alta",'Mapa final'!$N$82="Moderado"),CONCATENATE("R",'Mapa final'!$A$82),"")</f>
        <v/>
      </c>
      <c r="AA20" s="266"/>
      <c r="AB20" s="263" t="str">
        <f>IF(AND('Mapa final'!$J$69="Alta",'Mapa final'!$N$69="Mayor"),CONCATENATE("R",'Mapa final'!$A$69),"")</f>
        <v/>
      </c>
      <c r="AC20" s="264"/>
      <c r="AD20" s="265" t="str">
        <f>IF(AND('Mapa final'!$J$76="Alta",'Mapa final'!$N$76="Mayor"),CONCATENATE("R",'Mapa final'!$A$76),"")</f>
        <v/>
      </c>
      <c r="AE20" s="265"/>
      <c r="AF20" s="265" t="str">
        <f>IF(AND('Mapa final'!$J$82="Alta",'Mapa final'!$N$82="Mayor"),CONCATENATE("R",'Mapa final'!$A$82),"")</f>
        <v/>
      </c>
      <c r="AG20" s="266"/>
      <c r="AH20" s="254" t="str">
        <f>IF(AND('Mapa final'!$J$69="Alta",'Mapa final'!$N$69="Catastrófico"),CONCATENATE("R",'Mapa final'!$A$69),"")</f>
        <v/>
      </c>
      <c r="AI20" s="255"/>
      <c r="AJ20" s="255" t="str">
        <f>IF(AND('Mapa final'!$J$76="Alta",'Mapa final'!$N$76="Catastrófico"),CONCATENATE("R",'Mapa final'!$A$76),"")</f>
        <v/>
      </c>
      <c r="AK20" s="255"/>
      <c r="AL20" s="255" t="str">
        <f>IF(AND('Mapa final'!$J$82="Alta",'Mapa final'!$N$82="Catastrófico"),CONCATENATE("R",'Mapa final'!$A$82),"")</f>
        <v/>
      </c>
      <c r="AM20" s="256"/>
      <c r="AN20" s="70"/>
      <c r="AO20" s="299"/>
      <c r="AP20" s="300"/>
      <c r="AQ20" s="300"/>
      <c r="AR20" s="300"/>
      <c r="AS20" s="300"/>
      <c r="AT20" s="301"/>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85"/>
      <c r="C21" s="285"/>
      <c r="D21" s="286"/>
      <c r="E21" s="280"/>
      <c r="F21" s="281"/>
      <c r="G21" s="281"/>
      <c r="H21" s="281"/>
      <c r="I21" s="281"/>
      <c r="J21" s="248"/>
      <c r="K21" s="249"/>
      <c r="L21" s="249"/>
      <c r="M21" s="249"/>
      <c r="N21" s="249"/>
      <c r="O21" s="250"/>
      <c r="P21" s="248"/>
      <c r="Q21" s="249"/>
      <c r="R21" s="249"/>
      <c r="S21" s="249"/>
      <c r="T21" s="249"/>
      <c r="U21" s="250"/>
      <c r="V21" s="267"/>
      <c r="W21" s="268"/>
      <c r="X21" s="268"/>
      <c r="Y21" s="268"/>
      <c r="Z21" s="268"/>
      <c r="AA21" s="269"/>
      <c r="AB21" s="267"/>
      <c r="AC21" s="268"/>
      <c r="AD21" s="268"/>
      <c r="AE21" s="268"/>
      <c r="AF21" s="268"/>
      <c r="AG21" s="269"/>
      <c r="AH21" s="257"/>
      <c r="AI21" s="258"/>
      <c r="AJ21" s="258"/>
      <c r="AK21" s="258"/>
      <c r="AL21" s="258"/>
      <c r="AM21" s="259"/>
      <c r="AN21" s="70"/>
      <c r="AO21" s="302"/>
      <c r="AP21" s="303"/>
      <c r="AQ21" s="303"/>
      <c r="AR21" s="303"/>
      <c r="AS21" s="303"/>
      <c r="AT21" s="30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85"/>
      <c r="C22" s="285"/>
      <c r="D22" s="286"/>
      <c r="E22" s="274" t="s">
        <v>113</v>
      </c>
      <c r="F22" s="275"/>
      <c r="G22" s="275"/>
      <c r="H22" s="275"/>
      <c r="I22" s="276"/>
      <c r="J22" s="251" t="str">
        <f>IF(AND('Mapa final'!$J$9="Media",'Mapa final'!$N$9="Leve"),CONCATENATE("R",'Mapa final'!$A$9),"")</f>
        <v/>
      </c>
      <c r="K22" s="252"/>
      <c r="L22" s="252" t="str">
        <f>IF(AND('Mapa final'!$J$15="Media",'Mapa final'!$N$15="Leve"),CONCATENATE("R",'Mapa final'!$A$15),"")</f>
        <v/>
      </c>
      <c r="M22" s="252"/>
      <c r="N22" s="252" t="str">
        <f>IF(AND('Mapa final'!$J$21="Media",'Mapa final'!$N$21="Leve"),CONCATENATE("R",'Mapa final'!$A$21),"")</f>
        <v/>
      </c>
      <c r="O22" s="253"/>
      <c r="P22" s="251" t="str">
        <f>IF(AND('Mapa final'!$J$9="Media",'Mapa final'!$N$9="Menor"),CONCATENATE("R",'Mapa final'!$A$9),"")</f>
        <v>R1</v>
      </c>
      <c r="Q22" s="252"/>
      <c r="R22" s="252" t="str">
        <f>IF(AND('Mapa final'!$J$15="Media",'Mapa final'!$N$15="Menor"),CONCATENATE("R",'Mapa final'!$A$15),"")</f>
        <v>R2</v>
      </c>
      <c r="S22" s="252"/>
      <c r="T22" s="252" t="str">
        <f>IF(AND('Mapa final'!$J$21="Media",'Mapa final'!$N$21="Menor"),CONCATENATE("R",'Mapa final'!$A$21),"")</f>
        <v>R3</v>
      </c>
      <c r="U22" s="253"/>
      <c r="V22" s="251" t="str">
        <f>IF(AND('Mapa final'!$J$9="Media",'Mapa final'!$N$9="Moderado"),CONCATENATE("R",'Mapa final'!$A$9),"")</f>
        <v/>
      </c>
      <c r="W22" s="252"/>
      <c r="X22" s="252" t="str">
        <f>IF(AND('Mapa final'!$J$15="Media",'Mapa final'!$N$15="Moderado"),CONCATENATE("R",'Mapa final'!$A$15),"")</f>
        <v/>
      </c>
      <c r="Y22" s="252"/>
      <c r="Z22" s="252" t="str">
        <f>IF(AND('Mapa final'!$J$21="Media",'Mapa final'!$N$21="Moderado"),CONCATENATE("R",'Mapa final'!$A$21),"")</f>
        <v/>
      </c>
      <c r="AA22" s="253"/>
      <c r="AB22" s="270" t="str">
        <f>IF(AND('Mapa final'!$J$9="Media",'Mapa final'!$N$9="Mayor"),CONCATENATE("R",'Mapa final'!$A$9),"")</f>
        <v/>
      </c>
      <c r="AC22" s="271"/>
      <c r="AD22" s="271" t="str">
        <f>IF(AND('Mapa final'!$J$15="Media",'Mapa final'!$N$15="Mayor"),CONCATENATE("R",'Mapa final'!$A$15),"")</f>
        <v/>
      </c>
      <c r="AE22" s="271"/>
      <c r="AF22" s="271" t="str">
        <f>IF(AND('Mapa final'!$J$21="Media",'Mapa final'!$N$21="Mayor"),CONCATENATE("R",'Mapa final'!$A$21),"")</f>
        <v/>
      </c>
      <c r="AG22" s="272"/>
      <c r="AH22" s="260" t="str">
        <f>IF(AND('Mapa final'!$J$9="Media",'Mapa final'!$N$9="Catastrófico"),CONCATENATE("R",'Mapa final'!$A$9),"")</f>
        <v/>
      </c>
      <c r="AI22" s="261"/>
      <c r="AJ22" s="261" t="str">
        <f>IF(AND('Mapa final'!$J$15="Media",'Mapa final'!$N$15="Catastrófico"),CONCATENATE("R",'Mapa final'!$A$15),"")</f>
        <v/>
      </c>
      <c r="AK22" s="261"/>
      <c r="AL22" s="261" t="str">
        <f>IF(AND('Mapa final'!$J$21="Media",'Mapa final'!$N$21="Catastrófico"),CONCATENATE("R",'Mapa final'!$A$21),"")</f>
        <v/>
      </c>
      <c r="AM22" s="262"/>
      <c r="AN22" s="70"/>
      <c r="AO22" s="305" t="s">
        <v>77</v>
      </c>
      <c r="AP22" s="306"/>
      <c r="AQ22" s="306"/>
      <c r="AR22" s="306"/>
      <c r="AS22" s="306"/>
      <c r="AT22" s="307"/>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85"/>
      <c r="C23" s="285"/>
      <c r="D23" s="286"/>
      <c r="E23" s="277"/>
      <c r="F23" s="278"/>
      <c r="G23" s="278"/>
      <c r="H23" s="278"/>
      <c r="I23" s="279"/>
      <c r="J23" s="245"/>
      <c r="K23" s="246"/>
      <c r="L23" s="246"/>
      <c r="M23" s="246"/>
      <c r="N23" s="246"/>
      <c r="O23" s="247"/>
      <c r="P23" s="245"/>
      <c r="Q23" s="246"/>
      <c r="R23" s="246"/>
      <c r="S23" s="246"/>
      <c r="T23" s="246"/>
      <c r="U23" s="247"/>
      <c r="V23" s="245"/>
      <c r="W23" s="246"/>
      <c r="X23" s="246"/>
      <c r="Y23" s="246"/>
      <c r="Z23" s="246"/>
      <c r="AA23" s="247"/>
      <c r="AB23" s="263"/>
      <c r="AC23" s="264"/>
      <c r="AD23" s="264"/>
      <c r="AE23" s="264"/>
      <c r="AF23" s="264"/>
      <c r="AG23" s="266"/>
      <c r="AH23" s="254"/>
      <c r="AI23" s="255"/>
      <c r="AJ23" s="255"/>
      <c r="AK23" s="255"/>
      <c r="AL23" s="255"/>
      <c r="AM23" s="256"/>
      <c r="AN23" s="70"/>
      <c r="AO23" s="308"/>
      <c r="AP23" s="309"/>
      <c r="AQ23" s="309"/>
      <c r="AR23" s="309"/>
      <c r="AS23" s="309"/>
      <c r="AT23" s="31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85"/>
      <c r="C24" s="285"/>
      <c r="D24" s="286"/>
      <c r="E24" s="277"/>
      <c r="F24" s="278"/>
      <c r="G24" s="278"/>
      <c r="H24" s="278"/>
      <c r="I24" s="279"/>
      <c r="J24" s="245" t="str">
        <f>IF(AND('Mapa final'!$J$27="Media",'Mapa final'!$N$27="Leve"),CONCATENATE("R",'Mapa final'!$A$27),"")</f>
        <v/>
      </c>
      <c r="K24" s="246"/>
      <c r="L24" s="246" t="str">
        <f>IF(AND('Mapa final'!$J$39="Media",'Mapa final'!$N$39="Leve"),CONCATENATE("R",'Mapa final'!$A$39),"")</f>
        <v/>
      </c>
      <c r="M24" s="246"/>
      <c r="N24" s="246" t="str">
        <f>IF(AND('Mapa final'!$J$45="Media",'Mapa final'!$N$45="Leve"),CONCATENATE("R",'Mapa final'!$A$45),"")</f>
        <v/>
      </c>
      <c r="O24" s="247"/>
      <c r="P24" s="245" t="str">
        <f>IF(AND('Mapa final'!$J$27="Media",'Mapa final'!$N$27="Menor"),CONCATENATE("R",'Mapa final'!$A$27),"")</f>
        <v>R4</v>
      </c>
      <c r="Q24" s="246"/>
      <c r="R24" s="246" t="str">
        <f>IF(AND('Mapa final'!$J$39="Media",'Mapa final'!$N$39="Menor"),CONCATENATE("R",'Mapa final'!$A$39),"")</f>
        <v/>
      </c>
      <c r="S24" s="246"/>
      <c r="T24" s="246" t="str">
        <f>IF(AND('Mapa final'!$J$45="Media",'Mapa final'!$N$45="Menor"),CONCATENATE("R",'Mapa final'!$A$45),"")</f>
        <v/>
      </c>
      <c r="U24" s="247"/>
      <c r="V24" s="245" t="str">
        <f>IF(AND('Mapa final'!$J$27="Media",'Mapa final'!$N$27="Moderado"),CONCATENATE("R",'Mapa final'!$A$27),"")</f>
        <v/>
      </c>
      <c r="W24" s="246"/>
      <c r="X24" s="246" t="str">
        <f>IF(AND('Mapa final'!$J$39="Media",'Mapa final'!$N$39="Moderado"),CONCATENATE("R",'Mapa final'!$A$39),"")</f>
        <v/>
      </c>
      <c r="Y24" s="246"/>
      <c r="Z24" s="246" t="str">
        <f>IF(AND('Mapa final'!$J$45="Media",'Mapa final'!$N$45="Moderado"),CONCATENATE("R",'Mapa final'!$A$45),"")</f>
        <v/>
      </c>
      <c r="AA24" s="247"/>
      <c r="AB24" s="263" t="str">
        <f>IF(AND('Mapa final'!$J$27="Media",'Mapa final'!$N$27="Mayor"),CONCATENATE("R",'Mapa final'!$A$27),"")</f>
        <v/>
      </c>
      <c r="AC24" s="264"/>
      <c r="AD24" s="265" t="str">
        <f>IF(AND('Mapa final'!$J$39="Media",'Mapa final'!$N$39="Mayor"),CONCATENATE("R",'Mapa final'!$A$39),"")</f>
        <v/>
      </c>
      <c r="AE24" s="265"/>
      <c r="AF24" s="265" t="str">
        <f>IF(AND('Mapa final'!$J$45="Media",'Mapa final'!$N$45="Mayor"),CONCATENATE("R",'Mapa final'!$A$45),"")</f>
        <v/>
      </c>
      <c r="AG24" s="266"/>
      <c r="AH24" s="254" t="str">
        <f>IF(AND('Mapa final'!$J$27="Media",'Mapa final'!$N$27="Catastrófico"),CONCATENATE("R",'Mapa final'!$A$27),"")</f>
        <v/>
      </c>
      <c r="AI24" s="255"/>
      <c r="AJ24" s="255" t="str">
        <f>IF(AND('Mapa final'!$J$39="Media",'Mapa final'!$N$39="Catastrófico"),CONCATENATE("R",'Mapa final'!$A$39),"")</f>
        <v/>
      </c>
      <c r="AK24" s="255"/>
      <c r="AL24" s="255" t="str">
        <f>IF(AND('Mapa final'!$J$45="Media",'Mapa final'!$N$45="Catastrófico"),CONCATENATE("R",'Mapa final'!$A$45),"")</f>
        <v/>
      </c>
      <c r="AM24" s="256"/>
      <c r="AN24" s="70"/>
      <c r="AO24" s="308"/>
      <c r="AP24" s="309"/>
      <c r="AQ24" s="309"/>
      <c r="AR24" s="309"/>
      <c r="AS24" s="309"/>
      <c r="AT24" s="31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85"/>
      <c r="C25" s="285"/>
      <c r="D25" s="286"/>
      <c r="E25" s="277"/>
      <c r="F25" s="278"/>
      <c r="G25" s="278"/>
      <c r="H25" s="278"/>
      <c r="I25" s="279"/>
      <c r="J25" s="245"/>
      <c r="K25" s="246"/>
      <c r="L25" s="246"/>
      <c r="M25" s="246"/>
      <c r="N25" s="246"/>
      <c r="O25" s="247"/>
      <c r="P25" s="245"/>
      <c r="Q25" s="246"/>
      <c r="R25" s="246"/>
      <c r="S25" s="246"/>
      <c r="T25" s="246"/>
      <c r="U25" s="247"/>
      <c r="V25" s="245"/>
      <c r="W25" s="246"/>
      <c r="X25" s="246"/>
      <c r="Y25" s="246"/>
      <c r="Z25" s="246"/>
      <c r="AA25" s="247"/>
      <c r="AB25" s="263"/>
      <c r="AC25" s="264"/>
      <c r="AD25" s="265"/>
      <c r="AE25" s="265"/>
      <c r="AF25" s="265"/>
      <c r="AG25" s="266"/>
      <c r="AH25" s="254"/>
      <c r="AI25" s="255"/>
      <c r="AJ25" s="255"/>
      <c r="AK25" s="255"/>
      <c r="AL25" s="255"/>
      <c r="AM25" s="256"/>
      <c r="AN25" s="70"/>
      <c r="AO25" s="308"/>
      <c r="AP25" s="309"/>
      <c r="AQ25" s="309"/>
      <c r="AR25" s="309"/>
      <c r="AS25" s="309"/>
      <c r="AT25" s="31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85"/>
      <c r="C26" s="285"/>
      <c r="D26" s="286"/>
      <c r="E26" s="277"/>
      <c r="F26" s="278"/>
      <c r="G26" s="278"/>
      <c r="H26" s="278"/>
      <c r="I26" s="279"/>
      <c r="J26" s="245" t="str">
        <f>IF(AND('Mapa final'!$J$51="Media",'Mapa final'!$N$51="Leve"),CONCATENATE("R",'Mapa final'!$A$51),"")</f>
        <v/>
      </c>
      <c r="K26" s="246"/>
      <c r="L26" s="246" t="str">
        <f>IF(AND('Mapa final'!$J$57="Media",'Mapa final'!$N$57="Leve"),CONCATENATE("R",'Mapa final'!$A$57),"")</f>
        <v/>
      </c>
      <c r="M26" s="246"/>
      <c r="N26" s="246" t="str">
        <f>IF(AND('Mapa final'!$J$63="Media",'Mapa final'!$N$63="Leve"),CONCATENATE("R",'Mapa final'!$A$63),"")</f>
        <v/>
      </c>
      <c r="O26" s="247"/>
      <c r="P26" s="245" t="str">
        <f>IF(AND('Mapa final'!$J$51="Media",'Mapa final'!$N$51="Menor"),CONCATENATE("R",'Mapa final'!$A$51),"")</f>
        <v/>
      </c>
      <c r="Q26" s="246"/>
      <c r="R26" s="246" t="str">
        <f>IF(AND('Mapa final'!$J$57="Media",'Mapa final'!$N$57="Menor"),CONCATENATE("R",'Mapa final'!$A$57),"")</f>
        <v/>
      </c>
      <c r="S26" s="246"/>
      <c r="T26" s="246" t="str">
        <f>IF(AND('Mapa final'!$J$63="Media",'Mapa final'!$N$63="Menor"),CONCATENATE("R",'Mapa final'!$A$63),"")</f>
        <v/>
      </c>
      <c r="U26" s="247"/>
      <c r="V26" s="245" t="str">
        <f>IF(AND('Mapa final'!$J$51="Media",'Mapa final'!$N$51="Moderado"),CONCATENATE("R",'Mapa final'!$A$51),"")</f>
        <v/>
      </c>
      <c r="W26" s="246"/>
      <c r="X26" s="246" t="str">
        <f>IF(AND('Mapa final'!$J$57="Media",'Mapa final'!$N$57="Moderado"),CONCATENATE("R",'Mapa final'!$A$57),"")</f>
        <v/>
      </c>
      <c r="Y26" s="246"/>
      <c r="Z26" s="246" t="str">
        <f>IF(AND('Mapa final'!$J$63="Media",'Mapa final'!$N$63="Moderado"),CONCATENATE("R",'Mapa final'!$A$63),"")</f>
        <v/>
      </c>
      <c r="AA26" s="247"/>
      <c r="AB26" s="263" t="str">
        <f>IF(AND('Mapa final'!$J$51="Media",'Mapa final'!$N$51="Mayor"),CONCATENATE("R",'Mapa final'!$A$51),"")</f>
        <v/>
      </c>
      <c r="AC26" s="264"/>
      <c r="AD26" s="265" t="str">
        <f>IF(AND('Mapa final'!$J$57="Media",'Mapa final'!$N$57="Mayor"),CONCATENATE("R",'Mapa final'!$A$57),"")</f>
        <v/>
      </c>
      <c r="AE26" s="265"/>
      <c r="AF26" s="265" t="str">
        <f>IF(AND('Mapa final'!$J$63="Media",'Mapa final'!$N$63="Mayor"),CONCATENATE("R",'Mapa final'!$A$63),"")</f>
        <v/>
      </c>
      <c r="AG26" s="266"/>
      <c r="AH26" s="254" t="str">
        <f>IF(AND('Mapa final'!$J$51="Media",'Mapa final'!$N$51="Catastrófico"),CONCATENATE("R",'Mapa final'!$A$51),"")</f>
        <v/>
      </c>
      <c r="AI26" s="255"/>
      <c r="AJ26" s="255" t="str">
        <f>IF(AND('Mapa final'!$J$57="Media",'Mapa final'!$N$57="Catastrófico"),CONCATENATE("R",'Mapa final'!$A$57),"")</f>
        <v/>
      </c>
      <c r="AK26" s="255"/>
      <c r="AL26" s="255" t="str">
        <f>IF(AND('Mapa final'!$J$63="Media",'Mapa final'!$N$63="Catastrófico"),CONCATENATE("R",'Mapa final'!$A$63),"")</f>
        <v/>
      </c>
      <c r="AM26" s="256"/>
      <c r="AN26" s="70"/>
      <c r="AO26" s="308"/>
      <c r="AP26" s="309"/>
      <c r="AQ26" s="309"/>
      <c r="AR26" s="309"/>
      <c r="AS26" s="309"/>
      <c r="AT26" s="31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85"/>
      <c r="C27" s="285"/>
      <c r="D27" s="286"/>
      <c r="E27" s="277"/>
      <c r="F27" s="278"/>
      <c r="G27" s="278"/>
      <c r="H27" s="278"/>
      <c r="I27" s="279"/>
      <c r="J27" s="245"/>
      <c r="K27" s="246"/>
      <c r="L27" s="246"/>
      <c r="M27" s="246"/>
      <c r="N27" s="246"/>
      <c r="O27" s="247"/>
      <c r="P27" s="245"/>
      <c r="Q27" s="246"/>
      <c r="R27" s="246"/>
      <c r="S27" s="246"/>
      <c r="T27" s="246"/>
      <c r="U27" s="247"/>
      <c r="V27" s="245"/>
      <c r="W27" s="246"/>
      <c r="X27" s="246"/>
      <c r="Y27" s="246"/>
      <c r="Z27" s="246"/>
      <c r="AA27" s="247"/>
      <c r="AB27" s="263"/>
      <c r="AC27" s="264"/>
      <c r="AD27" s="265"/>
      <c r="AE27" s="265"/>
      <c r="AF27" s="265"/>
      <c r="AG27" s="266"/>
      <c r="AH27" s="254"/>
      <c r="AI27" s="255"/>
      <c r="AJ27" s="255"/>
      <c r="AK27" s="255"/>
      <c r="AL27" s="255"/>
      <c r="AM27" s="256"/>
      <c r="AN27" s="70"/>
      <c r="AO27" s="308"/>
      <c r="AP27" s="309"/>
      <c r="AQ27" s="309"/>
      <c r="AR27" s="309"/>
      <c r="AS27" s="309"/>
      <c r="AT27" s="31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85"/>
      <c r="C28" s="285"/>
      <c r="D28" s="286"/>
      <c r="E28" s="277"/>
      <c r="F28" s="278"/>
      <c r="G28" s="278"/>
      <c r="H28" s="278"/>
      <c r="I28" s="279"/>
      <c r="J28" s="245" t="str">
        <f>IF(AND('Mapa final'!$J$69="Media",'Mapa final'!$N$69="Leve"),CONCATENATE("R",'Mapa final'!$A$69),"")</f>
        <v/>
      </c>
      <c r="K28" s="246"/>
      <c r="L28" s="246" t="str">
        <f>IF(AND('Mapa final'!$J$76="Media",'Mapa final'!$N$76="Leve"),CONCATENATE("R",'Mapa final'!$A$76),"")</f>
        <v/>
      </c>
      <c r="M28" s="246"/>
      <c r="N28" s="246" t="str">
        <f>IF(AND('Mapa final'!$J$82="Media",'Mapa final'!$N$82="Leve"),CONCATENATE("R",'Mapa final'!$A$82),"")</f>
        <v/>
      </c>
      <c r="O28" s="247"/>
      <c r="P28" s="245" t="str">
        <f>IF(AND('Mapa final'!$J$69="Media",'Mapa final'!$N$69="Menor"),CONCATENATE("R",'Mapa final'!$A$69),"")</f>
        <v/>
      </c>
      <c r="Q28" s="246"/>
      <c r="R28" s="246" t="str">
        <f>IF(AND('Mapa final'!$J$76="Media",'Mapa final'!$N$76="Menor"),CONCATENATE("R",'Mapa final'!$A$76),"")</f>
        <v/>
      </c>
      <c r="S28" s="246"/>
      <c r="T28" s="246" t="str">
        <f>IF(AND('Mapa final'!$J$82="Media",'Mapa final'!$N$82="Menor"),CONCATENATE("R",'Mapa final'!$A$82),"")</f>
        <v/>
      </c>
      <c r="U28" s="247"/>
      <c r="V28" s="245" t="str">
        <f>IF(AND('Mapa final'!$J$69="Media",'Mapa final'!$N$69="Moderado"),CONCATENATE("R",'Mapa final'!$A$69),"")</f>
        <v/>
      </c>
      <c r="W28" s="246"/>
      <c r="X28" s="246" t="str">
        <f>IF(AND('Mapa final'!$J$76="Media",'Mapa final'!$N$76="Moderado"),CONCATENATE("R",'Mapa final'!$A$76),"")</f>
        <v/>
      </c>
      <c r="Y28" s="246"/>
      <c r="Z28" s="246" t="str">
        <f>IF(AND('Mapa final'!$J$82="Media",'Mapa final'!$N$82="Moderado"),CONCATENATE("R",'Mapa final'!$A$82),"")</f>
        <v/>
      </c>
      <c r="AA28" s="247"/>
      <c r="AB28" s="263" t="str">
        <f>IF(AND('Mapa final'!$J$69="Media",'Mapa final'!$N$69="Mayor"),CONCATENATE("R",'Mapa final'!$A$69),"")</f>
        <v/>
      </c>
      <c r="AC28" s="264"/>
      <c r="AD28" s="265" t="str">
        <f>IF(AND('Mapa final'!$J$76="Media",'Mapa final'!$N$76="Mayor"),CONCATENATE("R",'Mapa final'!$A$76),"")</f>
        <v/>
      </c>
      <c r="AE28" s="265"/>
      <c r="AF28" s="265" t="str">
        <f>IF(AND('Mapa final'!$J$82="Media",'Mapa final'!$N$82="Mayor"),CONCATENATE("R",'Mapa final'!$A$82),"")</f>
        <v/>
      </c>
      <c r="AG28" s="266"/>
      <c r="AH28" s="254" t="str">
        <f>IF(AND('Mapa final'!$J$69="Media",'Mapa final'!$N$69="Catastrófico"),CONCATENATE("R",'Mapa final'!$A$69),"")</f>
        <v/>
      </c>
      <c r="AI28" s="255"/>
      <c r="AJ28" s="255" t="str">
        <f>IF(AND('Mapa final'!$J$76="Media",'Mapa final'!$N$76="Catastrófico"),CONCATENATE("R",'Mapa final'!$A$76),"")</f>
        <v/>
      </c>
      <c r="AK28" s="255"/>
      <c r="AL28" s="255" t="str">
        <f>IF(AND('Mapa final'!$J$82="Media",'Mapa final'!$N$82="Catastrófico"),CONCATENATE("R",'Mapa final'!$A$82),"")</f>
        <v/>
      </c>
      <c r="AM28" s="256"/>
      <c r="AN28" s="70"/>
      <c r="AO28" s="308"/>
      <c r="AP28" s="309"/>
      <c r="AQ28" s="309"/>
      <c r="AR28" s="309"/>
      <c r="AS28" s="309"/>
      <c r="AT28" s="31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85"/>
      <c r="C29" s="285"/>
      <c r="D29" s="286"/>
      <c r="E29" s="280"/>
      <c r="F29" s="281"/>
      <c r="G29" s="281"/>
      <c r="H29" s="281"/>
      <c r="I29" s="282"/>
      <c r="J29" s="245"/>
      <c r="K29" s="246"/>
      <c r="L29" s="246"/>
      <c r="M29" s="246"/>
      <c r="N29" s="246"/>
      <c r="O29" s="247"/>
      <c r="P29" s="248"/>
      <c r="Q29" s="249"/>
      <c r="R29" s="249"/>
      <c r="S29" s="249"/>
      <c r="T29" s="249"/>
      <c r="U29" s="250"/>
      <c r="V29" s="248"/>
      <c r="W29" s="249"/>
      <c r="X29" s="249"/>
      <c r="Y29" s="249"/>
      <c r="Z29" s="249"/>
      <c r="AA29" s="250"/>
      <c r="AB29" s="267"/>
      <c r="AC29" s="268"/>
      <c r="AD29" s="268"/>
      <c r="AE29" s="268"/>
      <c r="AF29" s="268"/>
      <c r="AG29" s="269"/>
      <c r="AH29" s="257"/>
      <c r="AI29" s="258"/>
      <c r="AJ29" s="258"/>
      <c r="AK29" s="258"/>
      <c r="AL29" s="258"/>
      <c r="AM29" s="259"/>
      <c r="AN29" s="70"/>
      <c r="AO29" s="311"/>
      <c r="AP29" s="312"/>
      <c r="AQ29" s="312"/>
      <c r="AR29" s="312"/>
      <c r="AS29" s="312"/>
      <c r="AT29" s="313"/>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85"/>
      <c r="C30" s="285"/>
      <c r="D30" s="286"/>
      <c r="E30" s="274" t="s">
        <v>110</v>
      </c>
      <c r="F30" s="275"/>
      <c r="G30" s="275"/>
      <c r="H30" s="275"/>
      <c r="I30" s="275"/>
      <c r="J30" s="242" t="str">
        <f>IF(AND('Mapa final'!$J$9="Baja",'Mapa final'!$N$9="Leve"),CONCATENATE("R",'Mapa final'!$A$9),"")</f>
        <v/>
      </c>
      <c r="K30" s="243"/>
      <c r="L30" s="243" t="str">
        <f>IF(AND('Mapa final'!$J$15="Baja",'Mapa final'!$N$15="Leve"),CONCATENATE("R",'Mapa final'!$A$15),"")</f>
        <v/>
      </c>
      <c r="M30" s="243"/>
      <c r="N30" s="243" t="str">
        <f>IF(AND('Mapa final'!$J$21="Baja",'Mapa final'!$N$21="Leve"),CONCATENATE("R",'Mapa final'!$A$21),"")</f>
        <v/>
      </c>
      <c r="O30" s="244"/>
      <c r="P30" s="252" t="str">
        <f>IF(AND('Mapa final'!$J$9="Baja",'Mapa final'!$N$9="Menor"),CONCATENATE("R",'Mapa final'!$A$9),"")</f>
        <v/>
      </c>
      <c r="Q30" s="252"/>
      <c r="R30" s="252" t="str">
        <f>IF(AND('Mapa final'!$J$15="Baja",'Mapa final'!$N$15="Menor"),CONCATENATE("R",'Mapa final'!$A$15),"")</f>
        <v/>
      </c>
      <c r="S30" s="252"/>
      <c r="T30" s="252" t="str">
        <f>IF(AND('Mapa final'!$J$21="Baja",'Mapa final'!$N$21="Menor"),CONCATENATE("R",'Mapa final'!$A$21),"")</f>
        <v/>
      </c>
      <c r="U30" s="253"/>
      <c r="V30" s="251" t="str">
        <f>IF(AND('Mapa final'!$J$9="Baja",'Mapa final'!$N$9="Moderado"),CONCATENATE("R",'Mapa final'!$A$9),"")</f>
        <v/>
      </c>
      <c r="W30" s="252"/>
      <c r="X30" s="252" t="str">
        <f>IF(AND('Mapa final'!$J$15="Baja",'Mapa final'!$N$15="Moderado"),CONCATENATE("R",'Mapa final'!$A$15),"")</f>
        <v/>
      </c>
      <c r="Y30" s="252"/>
      <c r="Z30" s="252" t="str">
        <f>IF(AND('Mapa final'!$J$21="Baja",'Mapa final'!$N$21="Moderado"),CONCATENATE("R",'Mapa final'!$A$21),"")</f>
        <v/>
      </c>
      <c r="AA30" s="253"/>
      <c r="AB30" s="270" t="str">
        <f>IF(AND('Mapa final'!$J$9="Baja",'Mapa final'!$N$9="Mayor"),CONCATENATE("R",'Mapa final'!$A$9),"")</f>
        <v/>
      </c>
      <c r="AC30" s="271"/>
      <c r="AD30" s="271" t="str">
        <f>IF(AND('Mapa final'!$J$15="Baja",'Mapa final'!$N$15="Mayor"),CONCATENATE("R",'Mapa final'!$A$15),"")</f>
        <v/>
      </c>
      <c r="AE30" s="271"/>
      <c r="AF30" s="271" t="str">
        <f>IF(AND('Mapa final'!$J$21="Baja",'Mapa final'!$N$21="Mayor"),CONCATENATE("R",'Mapa final'!$A$21),"")</f>
        <v/>
      </c>
      <c r="AG30" s="272"/>
      <c r="AH30" s="260" t="str">
        <f>IF(AND('Mapa final'!$J$9="Baja",'Mapa final'!$N$9="Catastrófico"),CONCATENATE("R",'Mapa final'!$A$9),"")</f>
        <v/>
      </c>
      <c r="AI30" s="261"/>
      <c r="AJ30" s="261" t="str">
        <f>IF(AND('Mapa final'!$J$15="Baja",'Mapa final'!$N$15="Catastrófico"),CONCATENATE("R",'Mapa final'!$A$15),"")</f>
        <v/>
      </c>
      <c r="AK30" s="261"/>
      <c r="AL30" s="261" t="str">
        <f>IF(AND('Mapa final'!$J$21="Baja",'Mapa final'!$N$21="Catastrófico"),CONCATENATE("R",'Mapa final'!$A$21),"")</f>
        <v/>
      </c>
      <c r="AM30" s="262"/>
      <c r="AN30" s="70"/>
      <c r="AO30" s="314" t="s">
        <v>78</v>
      </c>
      <c r="AP30" s="315"/>
      <c r="AQ30" s="315"/>
      <c r="AR30" s="315"/>
      <c r="AS30" s="315"/>
      <c r="AT30" s="31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85"/>
      <c r="C31" s="285"/>
      <c r="D31" s="286"/>
      <c r="E31" s="277"/>
      <c r="F31" s="278"/>
      <c r="G31" s="278"/>
      <c r="H31" s="278"/>
      <c r="I31" s="283"/>
      <c r="J31" s="236"/>
      <c r="K31" s="237"/>
      <c r="L31" s="237"/>
      <c r="M31" s="237"/>
      <c r="N31" s="237"/>
      <c r="O31" s="238"/>
      <c r="P31" s="246"/>
      <c r="Q31" s="246"/>
      <c r="R31" s="246"/>
      <c r="S31" s="246"/>
      <c r="T31" s="246"/>
      <c r="U31" s="247"/>
      <c r="V31" s="245"/>
      <c r="W31" s="246"/>
      <c r="X31" s="246"/>
      <c r="Y31" s="246"/>
      <c r="Z31" s="246"/>
      <c r="AA31" s="247"/>
      <c r="AB31" s="263"/>
      <c r="AC31" s="264"/>
      <c r="AD31" s="264"/>
      <c r="AE31" s="264"/>
      <c r="AF31" s="264"/>
      <c r="AG31" s="266"/>
      <c r="AH31" s="254"/>
      <c r="AI31" s="255"/>
      <c r="AJ31" s="255"/>
      <c r="AK31" s="255"/>
      <c r="AL31" s="255"/>
      <c r="AM31" s="256"/>
      <c r="AN31" s="70"/>
      <c r="AO31" s="317"/>
      <c r="AP31" s="318"/>
      <c r="AQ31" s="318"/>
      <c r="AR31" s="318"/>
      <c r="AS31" s="318"/>
      <c r="AT31" s="319"/>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85"/>
      <c r="C32" s="285"/>
      <c r="D32" s="286"/>
      <c r="E32" s="277"/>
      <c r="F32" s="278"/>
      <c r="G32" s="278"/>
      <c r="H32" s="278"/>
      <c r="I32" s="283"/>
      <c r="J32" s="236" t="str">
        <f>IF(AND('Mapa final'!$J$27="Baja",'Mapa final'!$N$27="Leve"),CONCATENATE("R",'Mapa final'!$A$27),"")</f>
        <v/>
      </c>
      <c r="K32" s="237"/>
      <c r="L32" s="237" t="str">
        <f>IF(AND('Mapa final'!$J$39="Baja",'Mapa final'!$N$39="Leve"),CONCATENATE("R",'Mapa final'!$A$39),"")</f>
        <v/>
      </c>
      <c r="M32" s="237"/>
      <c r="N32" s="237" t="str">
        <f>IF(AND('Mapa final'!$J$45="Baja",'Mapa final'!$N$45="Leve"),CONCATENATE("R",'Mapa final'!$A$45),"")</f>
        <v/>
      </c>
      <c r="O32" s="238"/>
      <c r="P32" s="246" t="str">
        <f>IF(AND('Mapa final'!$J$27="Baja",'Mapa final'!$N$27="Menor"),CONCATENATE("R",'Mapa final'!$A$27),"")</f>
        <v/>
      </c>
      <c r="Q32" s="246"/>
      <c r="R32" s="246" t="str">
        <f>IF(AND('Mapa final'!$J$39="Baja",'Mapa final'!$N$39="Menor"),CONCATENATE("R",'Mapa final'!$A$39),"")</f>
        <v/>
      </c>
      <c r="S32" s="246"/>
      <c r="T32" s="246" t="str">
        <f>IF(AND('Mapa final'!$J$45="Baja",'Mapa final'!$N$45="Menor"),CONCATENATE("R",'Mapa final'!$A$45),"")</f>
        <v/>
      </c>
      <c r="U32" s="247"/>
      <c r="V32" s="245" t="str">
        <f>IF(AND('Mapa final'!$J$27="Baja",'Mapa final'!$N$27="Moderado"),CONCATENATE("R",'Mapa final'!$A$27),"")</f>
        <v/>
      </c>
      <c r="W32" s="246"/>
      <c r="X32" s="246" t="str">
        <f>IF(AND('Mapa final'!$J$39="Baja",'Mapa final'!$N$39="Moderado"),CONCATENATE("R",'Mapa final'!$A$39),"")</f>
        <v/>
      </c>
      <c r="Y32" s="246"/>
      <c r="Z32" s="246" t="str">
        <f>IF(AND('Mapa final'!$J$45="Baja",'Mapa final'!$N$45="Moderado"),CONCATENATE("R",'Mapa final'!$A$45),"")</f>
        <v/>
      </c>
      <c r="AA32" s="247"/>
      <c r="AB32" s="263" t="str">
        <f>IF(AND('Mapa final'!$J$27="Baja",'Mapa final'!$N$27="Mayor"),CONCATENATE("R",'Mapa final'!$A$27),"")</f>
        <v/>
      </c>
      <c r="AC32" s="264"/>
      <c r="AD32" s="265" t="str">
        <f>IF(AND('Mapa final'!$J$39="Baja",'Mapa final'!$N$39="Mayor"),CONCATENATE("R",'Mapa final'!$A$39),"")</f>
        <v/>
      </c>
      <c r="AE32" s="265"/>
      <c r="AF32" s="265" t="str">
        <f>IF(AND('Mapa final'!$J$45="Baja",'Mapa final'!$N$45="Mayor"),CONCATENATE("R",'Mapa final'!$A$45),"")</f>
        <v/>
      </c>
      <c r="AG32" s="266"/>
      <c r="AH32" s="254" t="str">
        <f>IF(AND('Mapa final'!$J$27="Baja",'Mapa final'!$N$27="Catastrófico"),CONCATENATE("R",'Mapa final'!$A$27),"")</f>
        <v/>
      </c>
      <c r="AI32" s="255"/>
      <c r="AJ32" s="255" t="str">
        <f>IF(AND('Mapa final'!$J$39="Baja",'Mapa final'!$N$39="Catastrófico"),CONCATENATE("R",'Mapa final'!$A$39),"")</f>
        <v/>
      </c>
      <c r="AK32" s="255"/>
      <c r="AL32" s="255" t="str">
        <f>IF(AND('Mapa final'!$J$45="Baja",'Mapa final'!$N$45="Catastrófico"),CONCATENATE("R",'Mapa final'!$A$45),"")</f>
        <v/>
      </c>
      <c r="AM32" s="256"/>
      <c r="AN32" s="70"/>
      <c r="AO32" s="317"/>
      <c r="AP32" s="318"/>
      <c r="AQ32" s="318"/>
      <c r="AR32" s="318"/>
      <c r="AS32" s="318"/>
      <c r="AT32" s="319"/>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85"/>
      <c r="C33" s="285"/>
      <c r="D33" s="286"/>
      <c r="E33" s="277"/>
      <c r="F33" s="278"/>
      <c r="G33" s="278"/>
      <c r="H33" s="278"/>
      <c r="I33" s="283"/>
      <c r="J33" s="236"/>
      <c r="K33" s="237"/>
      <c r="L33" s="237"/>
      <c r="M33" s="237"/>
      <c r="N33" s="237"/>
      <c r="O33" s="238"/>
      <c r="P33" s="246"/>
      <c r="Q33" s="246"/>
      <c r="R33" s="246"/>
      <c r="S33" s="246"/>
      <c r="T33" s="246"/>
      <c r="U33" s="247"/>
      <c r="V33" s="245"/>
      <c r="W33" s="246"/>
      <c r="X33" s="246"/>
      <c r="Y33" s="246"/>
      <c r="Z33" s="246"/>
      <c r="AA33" s="247"/>
      <c r="AB33" s="263"/>
      <c r="AC33" s="264"/>
      <c r="AD33" s="265"/>
      <c r="AE33" s="265"/>
      <c r="AF33" s="265"/>
      <c r="AG33" s="266"/>
      <c r="AH33" s="254"/>
      <c r="AI33" s="255"/>
      <c r="AJ33" s="255"/>
      <c r="AK33" s="255"/>
      <c r="AL33" s="255"/>
      <c r="AM33" s="256"/>
      <c r="AN33" s="70"/>
      <c r="AO33" s="317"/>
      <c r="AP33" s="318"/>
      <c r="AQ33" s="318"/>
      <c r="AR33" s="318"/>
      <c r="AS33" s="318"/>
      <c r="AT33" s="319"/>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85"/>
      <c r="C34" s="285"/>
      <c r="D34" s="286"/>
      <c r="E34" s="277"/>
      <c r="F34" s="278"/>
      <c r="G34" s="278"/>
      <c r="H34" s="278"/>
      <c r="I34" s="283"/>
      <c r="J34" s="236" t="str">
        <f>IF(AND('Mapa final'!$J$51="Baja",'Mapa final'!$N$51="Leve"),CONCATENATE("R",'Mapa final'!$A$51),"")</f>
        <v/>
      </c>
      <c r="K34" s="237"/>
      <c r="L34" s="237" t="str">
        <f>IF(AND('Mapa final'!$J$57="Baja",'Mapa final'!$N$57="Leve"),CONCATENATE("R",'Mapa final'!$A$57),"")</f>
        <v/>
      </c>
      <c r="M34" s="237"/>
      <c r="N34" s="237" t="str">
        <f>IF(AND('Mapa final'!$J$63="Baja",'Mapa final'!$N$63="Leve"),CONCATENATE("R",'Mapa final'!$A$63),"")</f>
        <v/>
      </c>
      <c r="O34" s="238"/>
      <c r="P34" s="246" t="str">
        <f>IF(AND('Mapa final'!$J$51="Baja",'Mapa final'!$N$51="Menor"),CONCATENATE("R",'Mapa final'!$A$51),"")</f>
        <v/>
      </c>
      <c r="Q34" s="246"/>
      <c r="R34" s="246" t="str">
        <f>IF(AND('Mapa final'!$J$57="Baja",'Mapa final'!$N$57="Menor"),CONCATENATE("R",'Mapa final'!$A$57),"")</f>
        <v/>
      </c>
      <c r="S34" s="246"/>
      <c r="T34" s="246" t="str">
        <f>IF(AND('Mapa final'!$J$63="Baja",'Mapa final'!$N$63="Menor"),CONCATENATE("R",'Mapa final'!$A$63),"")</f>
        <v/>
      </c>
      <c r="U34" s="247"/>
      <c r="V34" s="245" t="str">
        <f>IF(AND('Mapa final'!$J$51="Baja",'Mapa final'!$N$51="Moderado"),CONCATENATE("R",'Mapa final'!$A$51),"")</f>
        <v/>
      </c>
      <c r="W34" s="246"/>
      <c r="X34" s="246" t="str">
        <f>IF(AND('Mapa final'!$J$57="Baja",'Mapa final'!$N$57="Moderado"),CONCATENATE("R",'Mapa final'!$A$57),"")</f>
        <v/>
      </c>
      <c r="Y34" s="246"/>
      <c r="Z34" s="246" t="str">
        <f>IF(AND('Mapa final'!$J$63="Baja",'Mapa final'!$N$63="Moderado"),CONCATENATE("R",'Mapa final'!$A$63),"")</f>
        <v/>
      </c>
      <c r="AA34" s="247"/>
      <c r="AB34" s="263" t="str">
        <f>IF(AND('Mapa final'!$J$51="Baja",'Mapa final'!$N$51="Mayor"),CONCATENATE("R",'Mapa final'!$A$51),"")</f>
        <v/>
      </c>
      <c r="AC34" s="264"/>
      <c r="AD34" s="265" t="str">
        <f>IF(AND('Mapa final'!$J$57="Baja",'Mapa final'!$N$57="Mayor"),CONCATENATE("R",'Mapa final'!$A$57),"")</f>
        <v/>
      </c>
      <c r="AE34" s="265"/>
      <c r="AF34" s="265" t="str">
        <f>IF(AND('Mapa final'!$J$63="Baja",'Mapa final'!$N$63="Mayor"),CONCATENATE("R",'Mapa final'!$A$63),"")</f>
        <v/>
      </c>
      <c r="AG34" s="266"/>
      <c r="AH34" s="254" t="str">
        <f>IF(AND('Mapa final'!$J$51="Baja",'Mapa final'!$N$51="Catastrófico"),CONCATENATE("R",'Mapa final'!$A$51),"")</f>
        <v/>
      </c>
      <c r="AI34" s="255"/>
      <c r="AJ34" s="255" t="str">
        <f>IF(AND('Mapa final'!$J$57="Baja",'Mapa final'!$N$57="Catastrófico"),CONCATENATE("R",'Mapa final'!$A$57),"")</f>
        <v/>
      </c>
      <c r="AK34" s="255"/>
      <c r="AL34" s="255" t="str">
        <f>IF(AND('Mapa final'!$J$63="Baja",'Mapa final'!$N$63="Catastrófico"),CONCATENATE("R",'Mapa final'!$A$63),"")</f>
        <v/>
      </c>
      <c r="AM34" s="256"/>
      <c r="AN34" s="70"/>
      <c r="AO34" s="317"/>
      <c r="AP34" s="318"/>
      <c r="AQ34" s="318"/>
      <c r="AR34" s="318"/>
      <c r="AS34" s="318"/>
      <c r="AT34" s="319"/>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85"/>
      <c r="C35" s="285"/>
      <c r="D35" s="286"/>
      <c r="E35" s="277"/>
      <c r="F35" s="278"/>
      <c r="G35" s="278"/>
      <c r="H35" s="278"/>
      <c r="I35" s="283"/>
      <c r="J35" s="236"/>
      <c r="K35" s="237"/>
      <c r="L35" s="237"/>
      <c r="M35" s="237"/>
      <c r="N35" s="237"/>
      <c r="O35" s="238"/>
      <c r="P35" s="246"/>
      <c r="Q35" s="246"/>
      <c r="R35" s="246"/>
      <c r="S35" s="246"/>
      <c r="T35" s="246"/>
      <c r="U35" s="247"/>
      <c r="V35" s="245"/>
      <c r="W35" s="246"/>
      <c r="X35" s="246"/>
      <c r="Y35" s="246"/>
      <c r="Z35" s="246"/>
      <c r="AA35" s="247"/>
      <c r="AB35" s="263"/>
      <c r="AC35" s="264"/>
      <c r="AD35" s="265"/>
      <c r="AE35" s="265"/>
      <c r="AF35" s="265"/>
      <c r="AG35" s="266"/>
      <c r="AH35" s="254"/>
      <c r="AI35" s="255"/>
      <c r="AJ35" s="255"/>
      <c r="AK35" s="255"/>
      <c r="AL35" s="255"/>
      <c r="AM35" s="256"/>
      <c r="AN35" s="70"/>
      <c r="AO35" s="317"/>
      <c r="AP35" s="318"/>
      <c r="AQ35" s="318"/>
      <c r="AR35" s="318"/>
      <c r="AS35" s="318"/>
      <c r="AT35" s="31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85"/>
      <c r="C36" s="285"/>
      <c r="D36" s="286"/>
      <c r="E36" s="277"/>
      <c r="F36" s="278"/>
      <c r="G36" s="278"/>
      <c r="H36" s="278"/>
      <c r="I36" s="283"/>
      <c r="J36" s="236" t="str">
        <f>IF(AND('Mapa final'!$J$69="Baja",'Mapa final'!$N$69="Leve"),CONCATENATE("R",'Mapa final'!$A$69),"")</f>
        <v/>
      </c>
      <c r="K36" s="237"/>
      <c r="L36" s="237" t="str">
        <f>IF(AND('Mapa final'!$J$76="Baja",'Mapa final'!$N$76="Leve"),CONCATENATE("R",'Mapa final'!$A$76),"")</f>
        <v/>
      </c>
      <c r="M36" s="237"/>
      <c r="N36" s="237" t="str">
        <f>IF(AND('Mapa final'!$J$82="Baja",'Mapa final'!$N$82="Leve"),CONCATENATE("R",'Mapa final'!$A$82),"")</f>
        <v/>
      </c>
      <c r="O36" s="238"/>
      <c r="P36" s="246" t="str">
        <f>IF(AND('Mapa final'!$J$69="Baja",'Mapa final'!$N$69="Menor"),CONCATENATE("R",'Mapa final'!$A$69),"")</f>
        <v/>
      </c>
      <c r="Q36" s="246"/>
      <c r="R36" s="246" t="str">
        <f>IF(AND('Mapa final'!$J$76="Baja",'Mapa final'!$N$76="Menor"),CONCATENATE("R",'Mapa final'!$A$76),"")</f>
        <v/>
      </c>
      <c r="S36" s="246"/>
      <c r="T36" s="246" t="str">
        <f>IF(AND('Mapa final'!$J$82="Baja",'Mapa final'!$N$82="Menor"),CONCATENATE("R",'Mapa final'!$A$82),"")</f>
        <v/>
      </c>
      <c r="U36" s="247"/>
      <c r="V36" s="245" t="str">
        <f>IF(AND('Mapa final'!$J$69="Baja",'Mapa final'!$N$69="Moderado"),CONCATENATE("R",'Mapa final'!$A$69),"")</f>
        <v/>
      </c>
      <c r="W36" s="246"/>
      <c r="X36" s="246" t="str">
        <f>IF(AND('Mapa final'!$J$76="Baja",'Mapa final'!$N$76="Moderado"),CONCATENATE("R",'Mapa final'!$A$76),"")</f>
        <v/>
      </c>
      <c r="Y36" s="246"/>
      <c r="Z36" s="246" t="str">
        <f>IF(AND('Mapa final'!$J$82="Baja",'Mapa final'!$N$82="Moderado"),CONCATENATE("R",'Mapa final'!$A$82),"")</f>
        <v/>
      </c>
      <c r="AA36" s="247"/>
      <c r="AB36" s="263" t="str">
        <f>IF(AND('Mapa final'!$J$69="Baja",'Mapa final'!$N$69="Mayor"),CONCATENATE("R",'Mapa final'!$A$69),"")</f>
        <v/>
      </c>
      <c r="AC36" s="264"/>
      <c r="AD36" s="265" t="str">
        <f>IF(AND('Mapa final'!$J$76="Baja",'Mapa final'!$N$76="Mayor"),CONCATENATE("R",'Mapa final'!$A$76),"")</f>
        <v/>
      </c>
      <c r="AE36" s="265"/>
      <c r="AF36" s="265" t="str">
        <f>IF(AND('Mapa final'!$J$82="Baja",'Mapa final'!$N$82="Mayor"),CONCATENATE("R",'Mapa final'!$A$82),"")</f>
        <v/>
      </c>
      <c r="AG36" s="266"/>
      <c r="AH36" s="254" t="str">
        <f>IF(AND('Mapa final'!$J$69="Baja",'Mapa final'!$N$69="Catastrófico"),CONCATENATE("R",'Mapa final'!$A$69),"")</f>
        <v/>
      </c>
      <c r="AI36" s="255"/>
      <c r="AJ36" s="255" t="str">
        <f>IF(AND('Mapa final'!$J$76="Baja",'Mapa final'!$N$76="Catastrófico"),CONCATENATE("R",'Mapa final'!$A$76),"")</f>
        <v/>
      </c>
      <c r="AK36" s="255"/>
      <c r="AL36" s="255" t="str">
        <f>IF(AND('Mapa final'!$J$82="Baja",'Mapa final'!$N$82="Catastrófico"),CONCATENATE("R",'Mapa final'!$A$82),"")</f>
        <v/>
      </c>
      <c r="AM36" s="256"/>
      <c r="AN36" s="70"/>
      <c r="AO36" s="317"/>
      <c r="AP36" s="318"/>
      <c r="AQ36" s="318"/>
      <c r="AR36" s="318"/>
      <c r="AS36" s="318"/>
      <c r="AT36" s="319"/>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85"/>
      <c r="C37" s="285"/>
      <c r="D37" s="286"/>
      <c r="E37" s="280"/>
      <c r="F37" s="281"/>
      <c r="G37" s="281"/>
      <c r="H37" s="281"/>
      <c r="I37" s="281"/>
      <c r="J37" s="239"/>
      <c r="K37" s="240"/>
      <c r="L37" s="240"/>
      <c r="M37" s="240"/>
      <c r="N37" s="240"/>
      <c r="O37" s="241"/>
      <c r="P37" s="249"/>
      <c r="Q37" s="249"/>
      <c r="R37" s="249"/>
      <c r="S37" s="249"/>
      <c r="T37" s="249"/>
      <c r="U37" s="250"/>
      <c r="V37" s="248"/>
      <c r="W37" s="249"/>
      <c r="X37" s="249"/>
      <c r="Y37" s="249"/>
      <c r="Z37" s="249"/>
      <c r="AA37" s="250"/>
      <c r="AB37" s="267"/>
      <c r="AC37" s="268"/>
      <c r="AD37" s="268"/>
      <c r="AE37" s="268"/>
      <c r="AF37" s="268"/>
      <c r="AG37" s="269"/>
      <c r="AH37" s="257"/>
      <c r="AI37" s="258"/>
      <c r="AJ37" s="258"/>
      <c r="AK37" s="258"/>
      <c r="AL37" s="258"/>
      <c r="AM37" s="259"/>
      <c r="AN37" s="70"/>
      <c r="AO37" s="320"/>
      <c r="AP37" s="321"/>
      <c r="AQ37" s="321"/>
      <c r="AR37" s="321"/>
      <c r="AS37" s="321"/>
      <c r="AT37" s="322"/>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85"/>
      <c r="C38" s="285"/>
      <c r="D38" s="286"/>
      <c r="E38" s="274" t="s">
        <v>109</v>
      </c>
      <c r="F38" s="275"/>
      <c r="G38" s="275"/>
      <c r="H38" s="275"/>
      <c r="I38" s="276"/>
      <c r="J38" s="242" t="str">
        <f>IF(AND('Mapa final'!$J$9="Muy Baja",'Mapa final'!$N$9="Leve"),CONCATENATE("R",'Mapa final'!$A$9),"")</f>
        <v/>
      </c>
      <c r="K38" s="243"/>
      <c r="L38" s="243" t="str">
        <f>IF(AND('Mapa final'!$J$15="Muy Baja",'Mapa final'!$N$15="Leve"),CONCATENATE("R",'Mapa final'!$A$15),"")</f>
        <v/>
      </c>
      <c r="M38" s="243"/>
      <c r="N38" s="243" t="str">
        <f>IF(AND('Mapa final'!$J$21="Muy Baja",'Mapa final'!$N$21="Leve"),CONCATENATE("R",'Mapa final'!$A$21),"")</f>
        <v/>
      </c>
      <c r="O38" s="244"/>
      <c r="P38" s="242" t="str">
        <f>IF(AND('Mapa final'!$J$9="Muy Baja",'Mapa final'!$N$9="Menor"),CONCATENATE("R",'Mapa final'!$A$9),"")</f>
        <v/>
      </c>
      <c r="Q38" s="243"/>
      <c r="R38" s="243" t="str">
        <f>IF(AND('Mapa final'!$J$15="Muy Baja",'Mapa final'!$N$15="Menor"),CONCATENATE("R",'Mapa final'!$A$15),"")</f>
        <v/>
      </c>
      <c r="S38" s="243"/>
      <c r="T38" s="243" t="str">
        <f>IF(AND('Mapa final'!$J$21="Muy Baja",'Mapa final'!$N$21="Menor"),CONCATENATE("R",'Mapa final'!$A$21),"")</f>
        <v/>
      </c>
      <c r="U38" s="244"/>
      <c r="V38" s="251" t="str">
        <f>IF(AND('Mapa final'!$J$9="Muy Baja",'Mapa final'!$N$9="Moderado"),CONCATENATE("R",'Mapa final'!$A$9),"")</f>
        <v/>
      </c>
      <c r="W38" s="252"/>
      <c r="X38" s="252" t="str">
        <f>IF(AND('Mapa final'!$J$15="Muy Baja",'Mapa final'!$N$15="Moderado"),CONCATENATE("R",'Mapa final'!$A$15),"")</f>
        <v/>
      </c>
      <c r="Y38" s="252"/>
      <c r="Z38" s="252" t="str">
        <f>IF(AND('Mapa final'!$J$21="Muy Baja",'Mapa final'!$N$21="Moderado"),CONCATENATE("R",'Mapa final'!$A$21),"")</f>
        <v/>
      </c>
      <c r="AA38" s="253"/>
      <c r="AB38" s="270" t="str">
        <f>IF(AND('Mapa final'!$J$9="Muy Baja",'Mapa final'!$N$9="Mayor"),CONCATENATE("R",'Mapa final'!$A$9),"")</f>
        <v/>
      </c>
      <c r="AC38" s="271"/>
      <c r="AD38" s="271" t="str">
        <f>IF(AND('Mapa final'!$J$15="Muy Baja",'Mapa final'!$N$15="Mayor"),CONCATENATE("R",'Mapa final'!$A$15),"")</f>
        <v/>
      </c>
      <c r="AE38" s="271"/>
      <c r="AF38" s="271" t="str">
        <f>IF(AND('Mapa final'!$J$21="Muy Baja",'Mapa final'!$N$21="Mayor"),CONCATENATE("R",'Mapa final'!$A$21),"")</f>
        <v/>
      </c>
      <c r="AG38" s="272"/>
      <c r="AH38" s="260" t="str">
        <f>IF(AND('Mapa final'!$J$9="Muy Baja",'Mapa final'!$N$9="Catastrófico"),CONCATENATE("R",'Mapa final'!$A$9),"")</f>
        <v/>
      </c>
      <c r="AI38" s="261"/>
      <c r="AJ38" s="261" t="str">
        <f>IF(AND('Mapa final'!$J$15="Muy Baja",'Mapa final'!$N$15="Catastrófico"),CONCATENATE("R",'Mapa final'!$A$15),"")</f>
        <v/>
      </c>
      <c r="AK38" s="261"/>
      <c r="AL38" s="261" t="str">
        <f>IF(AND('Mapa final'!$J$21="Muy Baja",'Mapa final'!$N$21="Catastrófico"),CONCATENATE("R",'Mapa final'!$A$21),"")</f>
        <v/>
      </c>
      <c r="AM38" s="262"/>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85"/>
      <c r="C39" s="285"/>
      <c r="D39" s="286"/>
      <c r="E39" s="277"/>
      <c r="F39" s="278"/>
      <c r="G39" s="278"/>
      <c r="H39" s="278"/>
      <c r="I39" s="279"/>
      <c r="J39" s="236"/>
      <c r="K39" s="237"/>
      <c r="L39" s="237"/>
      <c r="M39" s="237"/>
      <c r="N39" s="237"/>
      <c r="O39" s="238"/>
      <c r="P39" s="236"/>
      <c r="Q39" s="237"/>
      <c r="R39" s="237"/>
      <c r="S39" s="237"/>
      <c r="T39" s="237"/>
      <c r="U39" s="238"/>
      <c r="V39" s="245"/>
      <c r="W39" s="246"/>
      <c r="X39" s="246"/>
      <c r="Y39" s="246"/>
      <c r="Z39" s="246"/>
      <c r="AA39" s="247"/>
      <c r="AB39" s="263"/>
      <c r="AC39" s="264"/>
      <c r="AD39" s="264"/>
      <c r="AE39" s="264"/>
      <c r="AF39" s="264"/>
      <c r="AG39" s="266"/>
      <c r="AH39" s="254"/>
      <c r="AI39" s="255"/>
      <c r="AJ39" s="255"/>
      <c r="AK39" s="255"/>
      <c r="AL39" s="255"/>
      <c r="AM39" s="256"/>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85"/>
      <c r="C40" s="285"/>
      <c r="D40" s="286"/>
      <c r="E40" s="277"/>
      <c r="F40" s="278"/>
      <c r="G40" s="278"/>
      <c r="H40" s="278"/>
      <c r="I40" s="279"/>
      <c r="J40" s="236" t="str">
        <f>IF(AND('Mapa final'!$J$27="Muy Baja",'Mapa final'!$N$27="Leve"),CONCATENATE("R",'Mapa final'!$A$27),"")</f>
        <v/>
      </c>
      <c r="K40" s="237"/>
      <c r="L40" s="237" t="str">
        <f>IF(AND('Mapa final'!$J$39="Muy Baja",'Mapa final'!$N$39="Leve"),CONCATENATE("R",'Mapa final'!$A$39),"")</f>
        <v/>
      </c>
      <c r="M40" s="237"/>
      <c r="N40" s="237" t="str">
        <f>IF(AND('Mapa final'!$J$45="Muy Baja",'Mapa final'!$N$45="Leve"),CONCATENATE("R",'Mapa final'!$A$45),"")</f>
        <v/>
      </c>
      <c r="O40" s="238"/>
      <c r="P40" s="236" t="str">
        <f>IF(AND('Mapa final'!$J$27="Muy Baja",'Mapa final'!$N$27="Menor"),CONCATENATE("R",'Mapa final'!$A$27),"")</f>
        <v/>
      </c>
      <c r="Q40" s="237"/>
      <c r="R40" s="237" t="str">
        <f>IF(AND('Mapa final'!$J$39="Muy Baja",'Mapa final'!$N$39="Menor"),CONCATENATE("R",'Mapa final'!$A$39),"")</f>
        <v/>
      </c>
      <c r="S40" s="237"/>
      <c r="T40" s="237" t="str">
        <f>IF(AND('Mapa final'!$J$45="Muy Baja",'Mapa final'!$N$45="Menor"),CONCATENATE("R",'Mapa final'!$A$45),"")</f>
        <v/>
      </c>
      <c r="U40" s="238"/>
      <c r="V40" s="245" t="str">
        <f>IF(AND('Mapa final'!$J$27="Muy Baja",'Mapa final'!$N$27="Moderado"),CONCATENATE("R",'Mapa final'!$A$27),"")</f>
        <v/>
      </c>
      <c r="W40" s="246"/>
      <c r="X40" s="246" t="str">
        <f>IF(AND('Mapa final'!$J$39="Muy Baja",'Mapa final'!$N$39="Moderado"),CONCATENATE("R",'Mapa final'!$A$39),"")</f>
        <v/>
      </c>
      <c r="Y40" s="246"/>
      <c r="Z40" s="246" t="str">
        <f>IF(AND('Mapa final'!$J$45="Muy Baja",'Mapa final'!$N$45="Moderado"),CONCATENATE("R",'Mapa final'!$A$45),"")</f>
        <v/>
      </c>
      <c r="AA40" s="247"/>
      <c r="AB40" s="263" t="str">
        <f>IF(AND('Mapa final'!$J$27="Muy Baja",'Mapa final'!$N$27="Mayor"),CONCATENATE("R",'Mapa final'!$A$27),"")</f>
        <v/>
      </c>
      <c r="AC40" s="264"/>
      <c r="AD40" s="265" t="str">
        <f>IF(AND('Mapa final'!$J$39="Muy Baja",'Mapa final'!$N$39="Mayor"),CONCATENATE("R",'Mapa final'!$A$39),"")</f>
        <v/>
      </c>
      <c r="AE40" s="265"/>
      <c r="AF40" s="265" t="str">
        <f>IF(AND('Mapa final'!$J$45="Muy Baja",'Mapa final'!$N$45="Mayor"),CONCATENATE("R",'Mapa final'!$A$45),"")</f>
        <v/>
      </c>
      <c r="AG40" s="266"/>
      <c r="AH40" s="254" t="str">
        <f>IF(AND('Mapa final'!$J$27="Muy Baja",'Mapa final'!$N$27="Catastrófico"),CONCATENATE("R",'Mapa final'!$A$27),"")</f>
        <v/>
      </c>
      <c r="AI40" s="255"/>
      <c r="AJ40" s="255" t="str">
        <f>IF(AND('Mapa final'!$J$39="Muy Baja",'Mapa final'!$N$39="Catastrófico"),CONCATENATE("R",'Mapa final'!$A$39),"")</f>
        <v/>
      </c>
      <c r="AK40" s="255"/>
      <c r="AL40" s="255" t="str">
        <f>IF(AND('Mapa final'!$J$45="Muy Baja",'Mapa final'!$N$45="Catastrófico"),CONCATENATE("R",'Mapa final'!$A$45),"")</f>
        <v/>
      </c>
      <c r="AM40" s="256"/>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85"/>
      <c r="C41" s="285"/>
      <c r="D41" s="286"/>
      <c r="E41" s="277"/>
      <c r="F41" s="278"/>
      <c r="G41" s="278"/>
      <c r="H41" s="278"/>
      <c r="I41" s="279"/>
      <c r="J41" s="236"/>
      <c r="K41" s="237"/>
      <c r="L41" s="237"/>
      <c r="M41" s="237"/>
      <c r="N41" s="237"/>
      <c r="O41" s="238"/>
      <c r="P41" s="236"/>
      <c r="Q41" s="237"/>
      <c r="R41" s="237"/>
      <c r="S41" s="237"/>
      <c r="T41" s="237"/>
      <c r="U41" s="238"/>
      <c r="V41" s="245"/>
      <c r="W41" s="246"/>
      <c r="X41" s="246"/>
      <c r="Y41" s="246"/>
      <c r="Z41" s="246"/>
      <c r="AA41" s="247"/>
      <c r="AB41" s="263"/>
      <c r="AC41" s="264"/>
      <c r="AD41" s="265"/>
      <c r="AE41" s="265"/>
      <c r="AF41" s="265"/>
      <c r="AG41" s="266"/>
      <c r="AH41" s="254"/>
      <c r="AI41" s="255"/>
      <c r="AJ41" s="255"/>
      <c r="AK41" s="255"/>
      <c r="AL41" s="255"/>
      <c r="AM41" s="256"/>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85"/>
      <c r="C42" s="285"/>
      <c r="D42" s="286"/>
      <c r="E42" s="277"/>
      <c r="F42" s="278"/>
      <c r="G42" s="278"/>
      <c r="H42" s="278"/>
      <c r="I42" s="279"/>
      <c r="J42" s="236" t="str">
        <f>IF(AND('Mapa final'!$J$51="Muy Baja",'Mapa final'!$N$51="Leve"),CONCATENATE("R",'Mapa final'!$A$51),"")</f>
        <v/>
      </c>
      <c r="K42" s="237"/>
      <c r="L42" s="237" t="str">
        <f>IF(AND('Mapa final'!$J$57="Muy Baja",'Mapa final'!$N$57="Leve"),CONCATENATE("R",'Mapa final'!$A$57),"")</f>
        <v/>
      </c>
      <c r="M42" s="237"/>
      <c r="N42" s="237" t="str">
        <f>IF(AND('Mapa final'!$J$63="Muy Baja",'Mapa final'!$N$63="Leve"),CONCATENATE("R",'Mapa final'!$A$63),"")</f>
        <v/>
      </c>
      <c r="O42" s="238"/>
      <c r="P42" s="236" t="str">
        <f>IF(AND('Mapa final'!$J$51="Muy Baja",'Mapa final'!$N$51="Menor"),CONCATENATE("R",'Mapa final'!$A$51),"")</f>
        <v/>
      </c>
      <c r="Q42" s="237"/>
      <c r="R42" s="237" t="str">
        <f>IF(AND('Mapa final'!$J$57="Muy Baja",'Mapa final'!$N$57="Menor"),CONCATENATE("R",'Mapa final'!$A$57),"")</f>
        <v/>
      </c>
      <c r="S42" s="237"/>
      <c r="T42" s="237" t="str">
        <f>IF(AND('Mapa final'!$J$63="Muy Baja",'Mapa final'!$N$63="Menor"),CONCATENATE("R",'Mapa final'!$A$63),"")</f>
        <v/>
      </c>
      <c r="U42" s="238"/>
      <c r="V42" s="245" t="str">
        <f>IF(AND('Mapa final'!$J$51="Muy Baja",'Mapa final'!$N$51="Moderado"),CONCATENATE("R",'Mapa final'!$A$51),"")</f>
        <v/>
      </c>
      <c r="W42" s="246"/>
      <c r="X42" s="246" t="str">
        <f>IF(AND('Mapa final'!$J$57="Muy Baja",'Mapa final'!$N$57="Moderado"),CONCATENATE("R",'Mapa final'!$A$57),"")</f>
        <v/>
      </c>
      <c r="Y42" s="246"/>
      <c r="Z42" s="246" t="str">
        <f>IF(AND('Mapa final'!$J$63="Muy Baja",'Mapa final'!$N$63="Moderado"),CONCATENATE("R",'Mapa final'!$A$63),"")</f>
        <v/>
      </c>
      <c r="AA42" s="247"/>
      <c r="AB42" s="263" t="str">
        <f>IF(AND('Mapa final'!$J$51="Muy Baja",'Mapa final'!$N$51="Mayor"),CONCATENATE("R",'Mapa final'!$A$51),"")</f>
        <v/>
      </c>
      <c r="AC42" s="264"/>
      <c r="AD42" s="265" t="str">
        <f>IF(AND('Mapa final'!$J$57="Muy Baja",'Mapa final'!$N$57="Mayor"),CONCATENATE("R",'Mapa final'!$A$57),"")</f>
        <v/>
      </c>
      <c r="AE42" s="265"/>
      <c r="AF42" s="265" t="str">
        <f>IF(AND('Mapa final'!$J$63="Muy Baja",'Mapa final'!$N$63="Mayor"),CONCATENATE("R",'Mapa final'!$A$63),"")</f>
        <v/>
      </c>
      <c r="AG42" s="266"/>
      <c r="AH42" s="254" t="str">
        <f>IF(AND('Mapa final'!$J$51="Muy Baja",'Mapa final'!$N$51="Catastrófico"),CONCATENATE("R",'Mapa final'!$A$51),"")</f>
        <v/>
      </c>
      <c r="AI42" s="255"/>
      <c r="AJ42" s="255" t="str">
        <f>IF(AND('Mapa final'!$J$57="Muy Baja",'Mapa final'!$N$57="Catastrófico"),CONCATENATE("R",'Mapa final'!$A$57),"")</f>
        <v/>
      </c>
      <c r="AK42" s="255"/>
      <c r="AL42" s="255" t="str">
        <f>IF(AND('Mapa final'!$J$63="Muy Baja",'Mapa final'!$N$63="Catastrófico"),CONCATENATE("R",'Mapa final'!$A$63),"")</f>
        <v/>
      </c>
      <c r="AM42" s="256"/>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85"/>
      <c r="C43" s="285"/>
      <c r="D43" s="286"/>
      <c r="E43" s="277"/>
      <c r="F43" s="278"/>
      <c r="G43" s="278"/>
      <c r="H43" s="278"/>
      <c r="I43" s="279"/>
      <c r="J43" s="236"/>
      <c r="K43" s="237"/>
      <c r="L43" s="237"/>
      <c r="M43" s="237"/>
      <c r="N43" s="237"/>
      <c r="O43" s="238"/>
      <c r="P43" s="236"/>
      <c r="Q43" s="237"/>
      <c r="R43" s="237"/>
      <c r="S43" s="237"/>
      <c r="T43" s="237"/>
      <c r="U43" s="238"/>
      <c r="V43" s="245"/>
      <c r="W43" s="246"/>
      <c r="X43" s="246"/>
      <c r="Y43" s="246"/>
      <c r="Z43" s="246"/>
      <c r="AA43" s="247"/>
      <c r="AB43" s="263"/>
      <c r="AC43" s="264"/>
      <c r="AD43" s="265"/>
      <c r="AE43" s="265"/>
      <c r="AF43" s="265"/>
      <c r="AG43" s="266"/>
      <c r="AH43" s="254"/>
      <c r="AI43" s="255"/>
      <c r="AJ43" s="255"/>
      <c r="AK43" s="255"/>
      <c r="AL43" s="255"/>
      <c r="AM43" s="256"/>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85"/>
      <c r="C44" s="285"/>
      <c r="D44" s="286"/>
      <c r="E44" s="277"/>
      <c r="F44" s="278"/>
      <c r="G44" s="278"/>
      <c r="H44" s="278"/>
      <c r="I44" s="279"/>
      <c r="J44" s="236" t="str">
        <f>IF(AND('Mapa final'!$J$69="Muy Baja",'Mapa final'!$N$69="Leve"),CONCATENATE("R",'Mapa final'!$A$69),"")</f>
        <v/>
      </c>
      <c r="K44" s="237"/>
      <c r="L44" s="237" t="str">
        <f>IF(AND('Mapa final'!$J$76="Muy Baja",'Mapa final'!$N$76="Leve"),CONCATENATE("R",'Mapa final'!$A$76),"")</f>
        <v/>
      </c>
      <c r="M44" s="237"/>
      <c r="N44" s="237" t="str">
        <f>IF(AND('Mapa final'!$J$82="Muy Baja",'Mapa final'!$N$82="Leve"),CONCATENATE("R",'Mapa final'!$A$82),"")</f>
        <v/>
      </c>
      <c r="O44" s="238"/>
      <c r="P44" s="236" t="str">
        <f>IF(AND('Mapa final'!$J$69="Muy Baja",'Mapa final'!$N$69="Menor"),CONCATENATE("R",'Mapa final'!$A$69),"")</f>
        <v/>
      </c>
      <c r="Q44" s="237"/>
      <c r="R44" s="237" t="str">
        <f>IF(AND('Mapa final'!$J$76="Muy Baja",'Mapa final'!$N$76="Menor"),CONCATENATE("R",'Mapa final'!$A$76),"")</f>
        <v/>
      </c>
      <c r="S44" s="237"/>
      <c r="T44" s="237" t="str">
        <f>IF(AND('Mapa final'!$J$82="Muy Baja",'Mapa final'!$N$82="Menor"),CONCATENATE("R",'Mapa final'!$A$82),"")</f>
        <v/>
      </c>
      <c r="U44" s="238"/>
      <c r="V44" s="245" t="str">
        <f>IF(AND('Mapa final'!$J$69="Muy Baja",'Mapa final'!$N$69="Moderado"),CONCATENATE("R",'Mapa final'!$A$69),"")</f>
        <v/>
      </c>
      <c r="W44" s="246"/>
      <c r="X44" s="246" t="str">
        <f>IF(AND('Mapa final'!$J$76="Muy Baja",'Mapa final'!$N$76="Moderado"),CONCATENATE("R",'Mapa final'!$A$76),"")</f>
        <v/>
      </c>
      <c r="Y44" s="246"/>
      <c r="Z44" s="246" t="str">
        <f>IF(AND('Mapa final'!$J$82="Muy Baja",'Mapa final'!$N$82="Moderado"),CONCATENATE("R",'Mapa final'!$A$82),"")</f>
        <v/>
      </c>
      <c r="AA44" s="247"/>
      <c r="AB44" s="263" t="str">
        <f>IF(AND('Mapa final'!$J$69="Muy Baja",'Mapa final'!$N$69="Mayor"),CONCATENATE("R",'Mapa final'!$A$69),"")</f>
        <v/>
      </c>
      <c r="AC44" s="264"/>
      <c r="AD44" s="265" t="str">
        <f>IF(AND('Mapa final'!$J$76="Muy Baja",'Mapa final'!$N$76="Mayor"),CONCATENATE("R",'Mapa final'!$A$76),"")</f>
        <v/>
      </c>
      <c r="AE44" s="265"/>
      <c r="AF44" s="265" t="str">
        <f>IF(AND('Mapa final'!$J$82="Muy Baja",'Mapa final'!$N$82="Mayor"),CONCATENATE("R",'Mapa final'!$A$82),"")</f>
        <v/>
      </c>
      <c r="AG44" s="266"/>
      <c r="AH44" s="254" t="str">
        <f>IF(AND('Mapa final'!$J$69="Muy Baja",'Mapa final'!$N$69="Catastrófico"),CONCATENATE("R",'Mapa final'!$A$69),"")</f>
        <v/>
      </c>
      <c r="AI44" s="255"/>
      <c r="AJ44" s="255" t="str">
        <f>IF(AND('Mapa final'!$J$76="Muy Baja",'Mapa final'!$N$76="Catastrófico"),CONCATENATE("R",'Mapa final'!$A$76),"")</f>
        <v/>
      </c>
      <c r="AK44" s="255"/>
      <c r="AL44" s="255" t="str">
        <f>IF(AND('Mapa final'!$J$82="Muy Baja",'Mapa final'!$N$82="Catastrófico"),CONCATENATE("R",'Mapa final'!$A$82),"")</f>
        <v/>
      </c>
      <c r="AM44" s="256"/>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85"/>
      <c r="C45" s="285"/>
      <c r="D45" s="286"/>
      <c r="E45" s="280"/>
      <c r="F45" s="281"/>
      <c r="G45" s="281"/>
      <c r="H45" s="281"/>
      <c r="I45" s="282"/>
      <c r="J45" s="239"/>
      <c r="K45" s="240"/>
      <c r="L45" s="240"/>
      <c r="M45" s="240"/>
      <c r="N45" s="240"/>
      <c r="O45" s="241"/>
      <c r="P45" s="239"/>
      <c r="Q45" s="240"/>
      <c r="R45" s="240"/>
      <c r="S45" s="240"/>
      <c r="T45" s="240"/>
      <c r="U45" s="241"/>
      <c r="V45" s="248"/>
      <c r="W45" s="249"/>
      <c r="X45" s="249"/>
      <c r="Y45" s="249"/>
      <c r="Z45" s="249"/>
      <c r="AA45" s="250"/>
      <c r="AB45" s="267"/>
      <c r="AC45" s="268"/>
      <c r="AD45" s="268"/>
      <c r="AE45" s="268"/>
      <c r="AF45" s="268"/>
      <c r="AG45" s="269"/>
      <c r="AH45" s="257"/>
      <c r="AI45" s="258"/>
      <c r="AJ45" s="258"/>
      <c r="AK45" s="258"/>
      <c r="AL45" s="258"/>
      <c r="AM45" s="259"/>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4" t="s">
        <v>108</v>
      </c>
      <c r="K46" s="275"/>
      <c r="L46" s="275"/>
      <c r="M46" s="275"/>
      <c r="N46" s="275"/>
      <c r="O46" s="276"/>
      <c r="P46" s="274" t="s">
        <v>107</v>
      </c>
      <c r="Q46" s="275"/>
      <c r="R46" s="275"/>
      <c r="S46" s="275"/>
      <c r="T46" s="275"/>
      <c r="U46" s="276"/>
      <c r="V46" s="274" t="s">
        <v>106</v>
      </c>
      <c r="W46" s="275"/>
      <c r="X46" s="275"/>
      <c r="Y46" s="275"/>
      <c r="Z46" s="275"/>
      <c r="AA46" s="276"/>
      <c r="AB46" s="274" t="s">
        <v>105</v>
      </c>
      <c r="AC46" s="284"/>
      <c r="AD46" s="275"/>
      <c r="AE46" s="275"/>
      <c r="AF46" s="275"/>
      <c r="AG46" s="276"/>
      <c r="AH46" s="274" t="s">
        <v>104</v>
      </c>
      <c r="AI46" s="275"/>
      <c r="AJ46" s="275"/>
      <c r="AK46" s="275"/>
      <c r="AL46" s="275"/>
      <c r="AM46" s="276"/>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7"/>
      <c r="K47" s="278"/>
      <c r="L47" s="278"/>
      <c r="M47" s="278"/>
      <c r="N47" s="278"/>
      <c r="O47" s="279"/>
      <c r="P47" s="277"/>
      <c r="Q47" s="278"/>
      <c r="R47" s="278"/>
      <c r="S47" s="278"/>
      <c r="T47" s="278"/>
      <c r="U47" s="279"/>
      <c r="V47" s="277"/>
      <c r="W47" s="278"/>
      <c r="X47" s="278"/>
      <c r="Y47" s="278"/>
      <c r="Z47" s="278"/>
      <c r="AA47" s="279"/>
      <c r="AB47" s="277"/>
      <c r="AC47" s="278"/>
      <c r="AD47" s="278"/>
      <c r="AE47" s="278"/>
      <c r="AF47" s="278"/>
      <c r="AG47" s="279"/>
      <c r="AH47" s="277"/>
      <c r="AI47" s="278"/>
      <c r="AJ47" s="278"/>
      <c r="AK47" s="278"/>
      <c r="AL47" s="278"/>
      <c r="AM47" s="279"/>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7"/>
      <c r="K48" s="278"/>
      <c r="L48" s="278"/>
      <c r="M48" s="278"/>
      <c r="N48" s="278"/>
      <c r="O48" s="279"/>
      <c r="P48" s="277"/>
      <c r="Q48" s="278"/>
      <c r="R48" s="278"/>
      <c r="S48" s="278"/>
      <c r="T48" s="278"/>
      <c r="U48" s="279"/>
      <c r="V48" s="277"/>
      <c r="W48" s="278"/>
      <c r="X48" s="278"/>
      <c r="Y48" s="278"/>
      <c r="Z48" s="278"/>
      <c r="AA48" s="279"/>
      <c r="AB48" s="277"/>
      <c r="AC48" s="278"/>
      <c r="AD48" s="278"/>
      <c r="AE48" s="278"/>
      <c r="AF48" s="278"/>
      <c r="AG48" s="279"/>
      <c r="AH48" s="277"/>
      <c r="AI48" s="278"/>
      <c r="AJ48" s="278"/>
      <c r="AK48" s="278"/>
      <c r="AL48" s="278"/>
      <c r="AM48" s="279"/>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7"/>
      <c r="K49" s="278"/>
      <c r="L49" s="278"/>
      <c r="M49" s="278"/>
      <c r="N49" s="278"/>
      <c r="O49" s="279"/>
      <c r="P49" s="277"/>
      <c r="Q49" s="278"/>
      <c r="R49" s="278"/>
      <c r="S49" s="278"/>
      <c r="T49" s="278"/>
      <c r="U49" s="279"/>
      <c r="V49" s="277"/>
      <c r="W49" s="278"/>
      <c r="X49" s="278"/>
      <c r="Y49" s="278"/>
      <c r="Z49" s="278"/>
      <c r="AA49" s="279"/>
      <c r="AB49" s="277"/>
      <c r="AC49" s="278"/>
      <c r="AD49" s="278"/>
      <c r="AE49" s="278"/>
      <c r="AF49" s="278"/>
      <c r="AG49" s="279"/>
      <c r="AH49" s="277"/>
      <c r="AI49" s="278"/>
      <c r="AJ49" s="278"/>
      <c r="AK49" s="278"/>
      <c r="AL49" s="278"/>
      <c r="AM49" s="279"/>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7"/>
      <c r="K50" s="278"/>
      <c r="L50" s="278"/>
      <c r="M50" s="278"/>
      <c r="N50" s="278"/>
      <c r="O50" s="279"/>
      <c r="P50" s="277"/>
      <c r="Q50" s="278"/>
      <c r="R50" s="278"/>
      <c r="S50" s="278"/>
      <c r="T50" s="278"/>
      <c r="U50" s="279"/>
      <c r="V50" s="277"/>
      <c r="W50" s="278"/>
      <c r="X50" s="278"/>
      <c r="Y50" s="278"/>
      <c r="Z50" s="278"/>
      <c r="AA50" s="279"/>
      <c r="AB50" s="277"/>
      <c r="AC50" s="278"/>
      <c r="AD50" s="278"/>
      <c r="AE50" s="278"/>
      <c r="AF50" s="278"/>
      <c r="AG50" s="279"/>
      <c r="AH50" s="277"/>
      <c r="AI50" s="278"/>
      <c r="AJ50" s="278"/>
      <c r="AK50" s="278"/>
      <c r="AL50" s="278"/>
      <c r="AM50" s="279"/>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80"/>
      <c r="K51" s="281"/>
      <c r="L51" s="281"/>
      <c r="M51" s="281"/>
      <c r="N51" s="281"/>
      <c r="O51" s="282"/>
      <c r="P51" s="280"/>
      <c r="Q51" s="281"/>
      <c r="R51" s="281"/>
      <c r="S51" s="281"/>
      <c r="T51" s="281"/>
      <c r="U51" s="282"/>
      <c r="V51" s="280"/>
      <c r="W51" s="281"/>
      <c r="X51" s="281"/>
      <c r="Y51" s="281"/>
      <c r="Z51" s="281"/>
      <c r="AA51" s="282"/>
      <c r="AB51" s="280"/>
      <c r="AC51" s="281"/>
      <c r="AD51" s="281"/>
      <c r="AE51" s="281"/>
      <c r="AF51" s="281"/>
      <c r="AG51" s="282"/>
      <c r="AH51" s="280"/>
      <c r="AI51" s="281"/>
      <c r="AJ51" s="281"/>
      <c r="AK51" s="281"/>
      <c r="AL51" s="281"/>
      <c r="AM51" s="282"/>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53" t="s">
        <v>153</v>
      </c>
      <c r="C2" s="354"/>
      <c r="D2" s="354"/>
      <c r="E2" s="354"/>
      <c r="F2" s="354"/>
      <c r="G2" s="354"/>
      <c r="H2" s="354"/>
      <c r="I2" s="354"/>
      <c r="J2" s="273" t="s">
        <v>2</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54"/>
      <c r="C3" s="354"/>
      <c r="D3" s="354"/>
      <c r="E3" s="354"/>
      <c r="F3" s="354"/>
      <c r="G3" s="354"/>
      <c r="H3" s="354"/>
      <c r="I3" s="354"/>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54"/>
      <c r="C4" s="354"/>
      <c r="D4" s="354"/>
      <c r="E4" s="354"/>
      <c r="F4" s="354"/>
      <c r="G4" s="354"/>
      <c r="H4" s="354"/>
      <c r="I4" s="354"/>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85" t="s">
        <v>3</v>
      </c>
      <c r="C6" s="285"/>
      <c r="D6" s="286"/>
      <c r="E6" s="323" t="s">
        <v>112</v>
      </c>
      <c r="F6" s="324"/>
      <c r="G6" s="324"/>
      <c r="H6" s="324"/>
      <c r="I6" s="325"/>
      <c r="J6" s="32" t="str">
        <f>IF(AND('Mapa final'!$AA$9="Muy Alta",'Mapa final'!$AC$9="Leve"),CONCATENATE("R1C",'Mapa final'!$Q$9),"")</f>
        <v/>
      </c>
      <c r="K6" s="33" t="str">
        <f>IF(AND('Mapa final'!$AA$10="Muy Alta",'Mapa final'!$AC$10="Leve"),CONCATENATE("R1C",'Mapa final'!$Q$10),"")</f>
        <v/>
      </c>
      <c r="L6" s="33" t="str">
        <f>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IF(AND('Mapa final'!$AA$9="Muy Alta",'Mapa final'!$AC$9="Menor"),CONCATENATE("R1C",'Mapa final'!$Q$9),"")</f>
        <v/>
      </c>
      <c r="Q6" s="33" t="str">
        <f>IF(AND('Mapa final'!$AA$10="Muy Alta",'Mapa final'!$AC$10="Menor"),CONCATENATE("R1C",'Mapa final'!$Q$10),"")</f>
        <v/>
      </c>
      <c r="R6" s="33" t="str">
        <f>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IF(AND('Mapa final'!$AA$9="Muy Alta",'Mapa final'!$AC$9="Moderado"),CONCATENATE("R1C",'Mapa final'!$Q$9),"")</f>
        <v/>
      </c>
      <c r="W6" s="33" t="str">
        <f>IF(AND('Mapa final'!$AA$10="Muy Alta",'Mapa final'!$AC$10="Moderado"),CONCATENATE("R1C",'Mapa final'!$Q$10),"")</f>
        <v/>
      </c>
      <c r="X6" s="33" t="str">
        <f>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IF(AND('Mapa final'!$AA$9="Muy Alta",'Mapa final'!$AC$9="Mayor"),CONCATENATE("R1C",'Mapa final'!$Q$9),"")</f>
        <v/>
      </c>
      <c r="AC6" s="33" t="str">
        <f>IF(AND('Mapa final'!$AA$10="Muy Alta",'Mapa final'!$AC$10="Mayor"),CONCATENATE("R1C",'Mapa final'!$Q$10),"")</f>
        <v/>
      </c>
      <c r="AD6" s="33" t="str">
        <f>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IF(AND('Mapa final'!$AA$9="Muy Alta",'Mapa final'!$AC$9="Catastrófico"),CONCATENATE("R1C",'Mapa final'!$Q$9),"")</f>
        <v/>
      </c>
      <c r="AI6" s="36" t="str">
        <f>IF(AND('Mapa final'!$AA$10="Muy Alta",'Mapa final'!$AC$10="Catastrófico"),CONCATENATE("R1C",'Mapa final'!$Q$10),"")</f>
        <v/>
      </c>
      <c r="AJ6" s="36" t="str">
        <f>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44" t="s">
        <v>75</v>
      </c>
      <c r="AP6" s="345"/>
      <c r="AQ6" s="345"/>
      <c r="AR6" s="345"/>
      <c r="AS6" s="345"/>
      <c r="AT6" s="346"/>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85"/>
      <c r="C7" s="285"/>
      <c r="D7" s="286"/>
      <c r="E7" s="326"/>
      <c r="F7" s="327"/>
      <c r="G7" s="327"/>
      <c r="H7" s="327"/>
      <c r="I7" s="328"/>
      <c r="J7" s="38" t="str">
        <f>IF(AND('Mapa final'!$AA$15="Muy Alta",'Mapa final'!$AC$15="Leve"),CONCATENATE("R2C",'Mapa final'!$Q$15),"")</f>
        <v/>
      </c>
      <c r="K7" s="39" t="str">
        <f>IF(AND('Mapa final'!$AA$16="Muy Alta",'Mapa final'!$AC$16="Leve"),CONCATENATE("R2C",'Mapa final'!$Q$16),"")</f>
        <v/>
      </c>
      <c r="L7" s="39" t="str">
        <f>IF(AND('Mapa final'!$AA$17="Muy Alta",'Mapa final'!$AC$17="Leve"),CONCATENATE("R2C",'Mapa final'!$Q$17),"")</f>
        <v/>
      </c>
      <c r="M7" s="39" t="str">
        <f>IF(AND('Mapa final'!$AA$18="Muy Alta",'Mapa final'!$AC$18="Leve"),CONCATENATE("R2C",'Mapa final'!$Q$18),"")</f>
        <v/>
      </c>
      <c r="N7" s="39" t="str">
        <f>IF(AND('Mapa final'!$AA$19="Muy Alta",'Mapa final'!$AC$19="Leve"),CONCATENATE("R2C",'Mapa final'!$Q$19),"")</f>
        <v/>
      </c>
      <c r="O7" s="40" t="str">
        <f>IF(AND('Mapa final'!$AA$20="Muy Alta",'Mapa final'!$AC$20="Leve"),CONCATENATE("R2C",'Mapa final'!$Q$20),"")</f>
        <v/>
      </c>
      <c r="P7" s="38" t="str">
        <f>IF(AND('Mapa final'!$AA$15="Muy Alta",'Mapa final'!$AC$15="Menor"),CONCATENATE("R2C",'Mapa final'!$Q$15),"")</f>
        <v/>
      </c>
      <c r="Q7" s="39" t="str">
        <f>IF(AND('Mapa final'!$AA$16="Muy Alta",'Mapa final'!$AC$16="Menor"),CONCATENATE("R2C",'Mapa final'!$Q$16),"")</f>
        <v/>
      </c>
      <c r="R7" s="39" t="str">
        <f>IF(AND('Mapa final'!$AA$17="Muy Alta",'Mapa final'!$AC$17="Menor"),CONCATENATE("R2C",'Mapa final'!$Q$17),"")</f>
        <v/>
      </c>
      <c r="S7" s="39" t="str">
        <f>IF(AND('Mapa final'!$AA$18="Muy Alta",'Mapa final'!$AC$18="Menor"),CONCATENATE("R2C",'Mapa final'!$Q$18),"")</f>
        <v/>
      </c>
      <c r="T7" s="39" t="str">
        <f>IF(AND('Mapa final'!$AA$19="Muy Alta",'Mapa final'!$AC$19="Menor"),CONCATENATE("R2C",'Mapa final'!$Q$19),"")</f>
        <v/>
      </c>
      <c r="U7" s="40" t="str">
        <f>IF(AND('Mapa final'!$AA$20="Muy Alta",'Mapa final'!$AC$20="Menor"),CONCATENATE("R2C",'Mapa final'!$Q$20),"")</f>
        <v/>
      </c>
      <c r="V7" s="38" t="str">
        <f>IF(AND('Mapa final'!$AA$15="Muy Alta",'Mapa final'!$AC$15="Moderado"),CONCATENATE("R2C",'Mapa final'!$Q$15),"")</f>
        <v/>
      </c>
      <c r="W7" s="39" t="str">
        <f>IF(AND('Mapa final'!$AA$16="Muy Alta",'Mapa final'!$AC$16="Moderado"),CONCATENATE("R2C",'Mapa final'!$Q$16),"")</f>
        <v/>
      </c>
      <c r="X7" s="39" t="str">
        <f>IF(AND('Mapa final'!$AA$17="Muy Alta",'Mapa final'!$AC$17="Moderado"),CONCATENATE("R2C",'Mapa final'!$Q$17),"")</f>
        <v/>
      </c>
      <c r="Y7" s="39" t="str">
        <f>IF(AND('Mapa final'!$AA$18="Muy Alta",'Mapa final'!$AC$18="Moderado"),CONCATENATE("R2C",'Mapa final'!$Q$18),"")</f>
        <v/>
      </c>
      <c r="Z7" s="39" t="str">
        <f>IF(AND('Mapa final'!$AA$19="Muy Alta",'Mapa final'!$AC$19="Moderado"),CONCATENATE("R2C",'Mapa final'!$Q$19),"")</f>
        <v/>
      </c>
      <c r="AA7" s="40" t="str">
        <f>IF(AND('Mapa final'!$AA$20="Muy Alta",'Mapa final'!$AC$20="Moderado"),CONCATENATE("R2C",'Mapa final'!$Q$20),"")</f>
        <v/>
      </c>
      <c r="AB7" s="38" t="str">
        <f>IF(AND('Mapa final'!$AA$15="Muy Alta",'Mapa final'!$AC$15="Mayor"),CONCATENATE("R2C",'Mapa final'!$Q$15),"")</f>
        <v/>
      </c>
      <c r="AC7" s="39" t="str">
        <f>IF(AND('Mapa final'!$AA$16="Muy Alta",'Mapa final'!$AC$16="Mayor"),CONCATENATE("R2C",'Mapa final'!$Q$16),"")</f>
        <v/>
      </c>
      <c r="AD7" s="39" t="str">
        <f>IF(AND('Mapa final'!$AA$17="Muy Alta",'Mapa final'!$AC$17="Mayor"),CONCATENATE("R2C",'Mapa final'!$Q$17),"")</f>
        <v/>
      </c>
      <c r="AE7" s="39" t="str">
        <f>IF(AND('Mapa final'!$AA$18="Muy Alta",'Mapa final'!$AC$18="Mayor"),CONCATENATE("R2C",'Mapa final'!$Q$18),"")</f>
        <v/>
      </c>
      <c r="AF7" s="39" t="str">
        <f>IF(AND('Mapa final'!$AA$19="Muy Alta",'Mapa final'!$AC$19="Mayor"),CONCATENATE("R2C",'Mapa final'!$Q$19),"")</f>
        <v/>
      </c>
      <c r="AG7" s="40" t="str">
        <f>IF(AND('Mapa final'!$AA$20="Muy Alta",'Mapa final'!$AC$20="Mayor"),CONCATENATE("R2C",'Mapa final'!$Q$20),"")</f>
        <v/>
      </c>
      <c r="AH7" s="41" t="str">
        <f>IF(AND('Mapa final'!$AA$15="Muy Alta",'Mapa final'!$AC$15="Catastrófico"),CONCATENATE("R2C",'Mapa final'!$Q$15),"")</f>
        <v/>
      </c>
      <c r="AI7" s="42" t="str">
        <f>IF(AND('Mapa final'!$AA$16="Muy Alta",'Mapa final'!$AC$16="Catastrófico"),CONCATENATE("R2C",'Mapa final'!$Q$16),"")</f>
        <v/>
      </c>
      <c r="AJ7" s="42" t="str">
        <f>IF(AND('Mapa final'!$AA$17="Muy Alta",'Mapa final'!$AC$17="Catastrófico"),CONCATENATE("R2C",'Mapa final'!$Q$17),"")</f>
        <v/>
      </c>
      <c r="AK7" s="42" t="str">
        <f>IF(AND('Mapa final'!$AA$18="Muy Alta",'Mapa final'!$AC$18="Catastrófico"),CONCATENATE("R2C",'Mapa final'!$Q$18),"")</f>
        <v/>
      </c>
      <c r="AL7" s="42" t="str">
        <f>IF(AND('Mapa final'!$AA$19="Muy Alta",'Mapa final'!$AC$19="Catastrófico"),CONCATENATE("R2C",'Mapa final'!$Q$19),"")</f>
        <v/>
      </c>
      <c r="AM7" s="43" t="str">
        <f>IF(AND('Mapa final'!$AA$20="Muy Alta",'Mapa final'!$AC$20="Catastrófico"),CONCATENATE("R2C",'Mapa final'!$Q$20),"")</f>
        <v/>
      </c>
      <c r="AN7" s="70"/>
      <c r="AO7" s="347"/>
      <c r="AP7" s="348"/>
      <c r="AQ7" s="348"/>
      <c r="AR7" s="348"/>
      <c r="AS7" s="348"/>
      <c r="AT7" s="349"/>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85"/>
      <c r="C8" s="285"/>
      <c r="D8" s="286"/>
      <c r="E8" s="326"/>
      <c r="F8" s="327"/>
      <c r="G8" s="327"/>
      <c r="H8" s="327"/>
      <c r="I8" s="328"/>
      <c r="J8" s="38" t="str">
        <f>IF(AND('Mapa final'!$AA$21="Muy Alta",'Mapa final'!$AC$21="Leve"),CONCATENATE("R3C",'Mapa final'!$Q$21),"")</f>
        <v/>
      </c>
      <c r="K8" s="39" t="str">
        <f>IF(AND('Mapa final'!$AA$22="Muy Alta",'Mapa final'!$AC$22="Leve"),CONCATENATE("R3C",'Mapa final'!$Q$22),"")</f>
        <v/>
      </c>
      <c r="L8" s="39" t="str">
        <f>IF(AND('Mapa final'!$AA$23="Muy Alta",'Mapa final'!$AC$23="Leve"),CONCATENATE("R3C",'Mapa final'!$Q$23),"")</f>
        <v/>
      </c>
      <c r="M8" s="39" t="str">
        <f>IF(AND('Mapa final'!$AA$24="Muy Alta",'Mapa final'!$AC$24="Leve"),CONCATENATE("R3C",'Mapa final'!$Q$24),"")</f>
        <v/>
      </c>
      <c r="N8" s="39" t="str">
        <f>IF(AND('Mapa final'!$AA$25="Muy Alta",'Mapa final'!$AC$25="Leve"),CONCATENATE("R3C",'Mapa final'!$Q$25),"")</f>
        <v/>
      </c>
      <c r="O8" s="40" t="str">
        <f>IF(AND('Mapa final'!$AA$26="Muy Alta",'Mapa final'!$AC$26="Leve"),CONCATENATE("R3C",'Mapa final'!$Q$26),"")</f>
        <v/>
      </c>
      <c r="P8" s="38" t="str">
        <f>IF(AND('Mapa final'!$AA$21="Muy Alta",'Mapa final'!$AC$21="Menor"),CONCATENATE("R3C",'Mapa final'!$Q$21),"")</f>
        <v/>
      </c>
      <c r="Q8" s="39" t="str">
        <f>IF(AND('Mapa final'!$AA$22="Muy Alta",'Mapa final'!$AC$22="Menor"),CONCATENATE("R3C",'Mapa final'!$Q$22),"")</f>
        <v/>
      </c>
      <c r="R8" s="39" t="str">
        <f>IF(AND('Mapa final'!$AA$23="Muy Alta",'Mapa final'!$AC$23="Menor"),CONCATENATE("R3C",'Mapa final'!$Q$23),"")</f>
        <v/>
      </c>
      <c r="S8" s="39" t="str">
        <f>IF(AND('Mapa final'!$AA$24="Muy Alta",'Mapa final'!$AC$24="Menor"),CONCATENATE("R3C",'Mapa final'!$Q$24),"")</f>
        <v/>
      </c>
      <c r="T8" s="39" t="str">
        <f>IF(AND('Mapa final'!$AA$25="Muy Alta",'Mapa final'!$AC$25="Menor"),CONCATENATE("R3C",'Mapa final'!$Q$25),"")</f>
        <v/>
      </c>
      <c r="U8" s="40" t="str">
        <f>IF(AND('Mapa final'!$AA$26="Muy Alta",'Mapa final'!$AC$26="Menor"),CONCATENATE("R3C",'Mapa final'!$Q$26),"")</f>
        <v/>
      </c>
      <c r="V8" s="38" t="str">
        <f>IF(AND('Mapa final'!$AA$21="Muy Alta",'Mapa final'!$AC$21="Moderado"),CONCATENATE("R3C",'Mapa final'!$Q$21),"")</f>
        <v/>
      </c>
      <c r="W8" s="39" t="str">
        <f>IF(AND('Mapa final'!$AA$22="Muy Alta",'Mapa final'!$AC$22="Moderado"),CONCATENATE("R3C",'Mapa final'!$Q$22),"")</f>
        <v/>
      </c>
      <c r="X8" s="39" t="str">
        <f>IF(AND('Mapa final'!$AA$23="Muy Alta",'Mapa final'!$AC$23="Moderado"),CONCATENATE("R3C",'Mapa final'!$Q$23),"")</f>
        <v/>
      </c>
      <c r="Y8" s="39" t="str">
        <f>IF(AND('Mapa final'!$AA$24="Muy Alta",'Mapa final'!$AC$24="Moderado"),CONCATENATE("R3C",'Mapa final'!$Q$24),"")</f>
        <v/>
      </c>
      <c r="Z8" s="39" t="str">
        <f>IF(AND('Mapa final'!$AA$25="Muy Alta",'Mapa final'!$AC$25="Moderado"),CONCATENATE("R3C",'Mapa final'!$Q$25),"")</f>
        <v/>
      </c>
      <c r="AA8" s="40" t="str">
        <f>IF(AND('Mapa final'!$AA$26="Muy Alta",'Mapa final'!$AC$26="Moderado"),CONCATENATE("R3C",'Mapa final'!$Q$26),"")</f>
        <v/>
      </c>
      <c r="AB8" s="38" t="str">
        <f>IF(AND('Mapa final'!$AA$21="Muy Alta",'Mapa final'!$AC$21="Mayor"),CONCATENATE("R3C",'Mapa final'!$Q$21),"")</f>
        <v/>
      </c>
      <c r="AC8" s="39" t="str">
        <f>IF(AND('Mapa final'!$AA$22="Muy Alta",'Mapa final'!$AC$22="Mayor"),CONCATENATE("R3C",'Mapa final'!$Q$22),"")</f>
        <v/>
      </c>
      <c r="AD8" s="39" t="str">
        <f>IF(AND('Mapa final'!$AA$23="Muy Alta",'Mapa final'!$AC$23="Mayor"),CONCATENATE("R3C",'Mapa final'!$Q$23),"")</f>
        <v/>
      </c>
      <c r="AE8" s="39" t="str">
        <f>IF(AND('Mapa final'!$AA$24="Muy Alta",'Mapa final'!$AC$24="Mayor"),CONCATENATE("R3C",'Mapa final'!$Q$24),"")</f>
        <v/>
      </c>
      <c r="AF8" s="39" t="str">
        <f>IF(AND('Mapa final'!$AA$25="Muy Alta",'Mapa final'!$AC$25="Mayor"),CONCATENATE("R3C",'Mapa final'!$Q$25),"")</f>
        <v/>
      </c>
      <c r="AG8" s="40" t="str">
        <f>IF(AND('Mapa final'!$AA$26="Muy Alta",'Mapa final'!$AC$26="Mayor"),CONCATENATE("R3C",'Mapa final'!$Q$26),"")</f>
        <v/>
      </c>
      <c r="AH8" s="41" t="str">
        <f>IF(AND('Mapa final'!$AA$21="Muy Alta",'Mapa final'!$AC$21="Catastrófico"),CONCATENATE("R3C",'Mapa final'!$Q$21),"")</f>
        <v/>
      </c>
      <c r="AI8" s="42" t="str">
        <f>IF(AND('Mapa final'!$AA$22="Muy Alta",'Mapa final'!$AC$22="Catastrófico"),CONCATENATE("R3C",'Mapa final'!$Q$22),"")</f>
        <v/>
      </c>
      <c r="AJ8" s="42" t="str">
        <f>IF(AND('Mapa final'!$AA$23="Muy Alta",'Mapa final'!$AC$23="Catastrófico"),CONCATENATE("R3C",'Mapa final'!$Q$23),"")</f>
        <v/>
      </c>
      <c r="AK8" s="42" t="str">
        <f>IF(AND('Mapa final'!$AA$24="Muy Alta",'Mapa final'!$AC$24="Catastrófico"),CONCATENATE("R3C",'Mapa final'!$Q$24),"")</f>
        <v/>
      </c>
      <c r="AL8" s="42" t="str">
        <f>IF(AND('Mapa final'!$AA$25="Muy Alta",'Mapa final'!$AC$25="Catastrófico"),CONCATENATE("R3C",'Mapa final'!$Q$25),"")</f>
        <v/>
      </c>
      <c r="AM8" s="43" t="str">
        <f>IF(AND('Mapa final'!$AA$26="Muy Alta",'Mapa final'!$AC$26="Catastrófico"),CONCATENATE("R3C",'Mapa final'!$Q$26),"")</f>
        <v/>
      </c>
      <c r="AN8" s="70"/>
      <c r="AO8" s="347"/>
      <c r="AP8" s="348"/>
      <c r="AQ8" s="348"/>
      <c r="AR8" s="348"/>
      <c r="AS8" s="348"/>
      <c r="AT8" s="349"/>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85"/>
      <c r="C9" s="285"/>
      <c r="D9" s="286"/>
      <c r="E9" s="326"/>
      <c r="F9" s="327"/>
      <c r="G9" s="327"/>
      <c r="H9" s="327"/>
      <c r="I9" s="328"/>
      <c r="J9" s="38" t="str">
        <f>IF(AND('Mapa final'!$AA$27="Muy Alta",'Mapa final'!$AC$27="Leve"),CONCATENATE("R4C",'Mapa final'!$Q$27),"")</f>
        <v/>
      </c>
      <c r="K9" s="39" t="str">
        <f>IF(AND('Mapa final'!$AA$28="Muy Alta",'Mapa final'!$AC$28="Leve"),CONCATENATE("R4C",'Mapa final'!$Q$28),"")</f>
        <v/>
      </c>
      <c r="L9" s="44" t="str">
        <f>IF(AND('Mapa final'!$AA$29="Muy Alta",'Mapa final'!$AC$29="Leve"),CONCATENATE("R4C",'Mapa final'!$Q$29),"")</f>
        <v/>
      </c>
      <c r="M9" s="44" t="str">
        <f>IF(AND('Mapa final'!$AA$30="Muy Alta",'Mapa final'!$AC$30="Leve"),CONCATENATE("R4C",'Mapa final'!$Q$30),"")</f>
        <v/>
      </c>
      <c r="N9" s="44" t="str">
        <f>IF(AND('Mapa final'!$AA$31="Muy Alta",'Mapa final'!$AC$31="Leve"),CONCATENATE("R4C",'Mapa final'!$Q$31),"")</f>
        <v/>
      </c>
      <c r="O9" s="40" t="str">
        <f>IF(AND('Mapa final'!$AA$32="Muy Alta",'Mapa final'!$AC$32="Leve"),CONCATENATE("R4C",'Mapa final'!$Q$32),"")</f>
        <v/>
      </c>
      <c r="P9" s="38" t="str">
        <f>IF(AND('Mapa final'!$AA$27="Muy Alta",'Mapa final'!$AC$27="Menor"),CONCATENATE("R4C",'Mapa final'!$Q$27),"")</f>
        <v/>
      </c>
      <c r="Q9" s="39" t="str">
        <f>IF(AND('Mapa final'!$AA$28="Muy Alta",'Mapa final'!$AC$28="Menor"),CONCATENATE("R4C",'Mapa final'!$Q$28),"")</f>
        <v/>
      </c>
      <c r="R9" s="44" t="str">
        <f>IF(AND('Mapa final'!$AA$29="Muy Alta",'Mapa final'!$AC$29="Menor"),CONCATENATE("R4C",'Mapa final'!$Q$29),"")</f>
        <v/>
      </c>
      <c r="S9" s="44" t="str">
        <f>IF(AND('Mapa final'!$AA$30="Muy Alta",'Mapa final'!$AC$30="Menor"),CONCATENATE("R4C",'Mapa final'!$Q$30),"")</f>
        <v/>
      </c>
      <c r="T9" s="44" t="str">
        <f>IF(AND('Mapa final'!$AA$31="Muy Alta",'Mapa final'!$AC$31="Menor"),CONCATENATE("R4C",'Mapa final'!$Q$31),"")</f>
        <v/>
      </c>
      <c r="U9" s="40" t="str">
        <f>IF(AND('Mapa final'!$AA$32="Muy Alta",'Mapa final'!$AC$32="Menor"),CONCATENATE("R4C",'Mapa final'!$Q$32),"")</f>
        <v/>
      </c>
      <c r="V9" s="38" t="str">
        <f>IF(AND('Mapa final'!$AA$27="Muy Alta",'Mapa final'!$AC$27="Moderado"),CONCATENATE("R4C",'Mapa final'!$Q$27),"")</f>
        <v/>
      </c>
      <c r="W9" s="39" t="str">
        <f>IF(AND('Mapa final'!$AA$28="Muy Alta",'Mapa final'!$AC$28="Moderado"),CONCATENATE("R4C",'Mapa final'!$Q$28),"")</f>
        <v/>
      </c>
      <c r="X9" s="44" t="str">
        <f>IF(AND('Mapa final'!$AA$29="Muy Alta",'Mapa final'!$AC$29="Moderado"),CONCATENATE("R4C",'Mapa final'!$Q$29),"")</f>
        <v/>
      </c>
      <c r="Y9" s="44" t="str">
        <f>IF(AND('Mapa final'!$AA$30="Muy Alta",'Mapa final'!$AC$30="Moderado"),CONCATENATE("R4C",'Mapa final'!$Q$30),"")</f>
        <v/>
      </c>
      <c r="Z9" s="44" t="str">
        <f>IF(AND('Mapa final'!$AA$31="Muy Alta",'Mapa final'!$AC$31="Moderado"),CONCATENATE("R4C",'Mapa final'!$Q$31),"")</f>
        <v/>
      </c>
      <c r="AA9" s="40" t="str">
        <f>IF(AND('Mapa final'!$AA$32="Muy Alta",'Mapa final'!$AC$32="Moderado"),CONCATENATE("R4C",'Mapa final'!$Q$32),"")</f>
        <v/>
      </c>
      <c r="AB9" s="38" t="str">
        <f>IF(AND('Mapa final'!$AA$27="Muy Alta",'Mapa final'!$AC$27="Mayor"),CONCATENATE("R4C",'Mapa final'!$Q$27),"")</f>
        <v/>
      </c>
      <c r="AC9" s="39" t="str">
        <f>IF(AND('Mapa final'!$AA$28="Muy Alta",'Mapa final'!$AC$28="Mayor"),CONCATENATE("R4C",'Mapa final'!$Q$28),"")</f>
        <v/>
      </c>
      <c r="AD9" s="44" t="str">
        <f>IF(AND('Mapa final'!$AA$29="Muy Alta",'Mapa final'!$AC$29="Mayor"),CONCATENATE("R4C",'Mapa final'!$Q$29),"")</f>
        <v/>
      </c>
      <c r="AE9" s="44" t="str">
        <f>IF(AND('Mapa final'!$AA$30="Muy Alta",'Mapa final'!$AC$30="Mayor"),CONCATENATE("R4C",'Mapa final'!$Q$30),"")</f>
        <v/>
      </c>
      <c r="AF9" s="44" t="str">
        <f>IF(AND('Mapa final'!$AA$31="Muy Alta",'Mapa final'!$AC$31="Mayor"),CONCATENATE("R4C",'Mapa final'!$Q$31),"")</f>
        <v/>
      </c>
      <c r="AG9" s="40" t="str">
        <f>IF(AND('Mapa final'!$AA$32="Muy Alta",'Mapa final'!$AC$32="Mayor"),CONCATENATE("R4C",'Mapa final'!$Q$32),"")</f>
        <v/>
      </c>
      <c r="AH9" s="41" t="str">
        <f>IF(AND('Mapa final'!$AA$27="Muy Alta",'Mapa final'!$AC$27="Catastrófico"),CONCATENATE("R4C",'Mapa final'!$Q$27),"")</f>
        <v/>
      </c>
      <c r="AI9" s="42" t="str">
        <f>IF(AND('Mapa final'!$AA$28="Muy Alta",'Mapa final'!$AC$28="Catastrófico"),CONCATENATE("R4C",'Mapa final'!$Q$28),"")</f>
        <v/>
      </c>
      <c r="AJ9" s="42" t="str">
        <f>IF(AND('Mapa final'!$AA$29="Muy Alta",'Mapa final'!$AC$29="Catastrófico"),CONCATENATE("R4C",'Mapa final'!$Q$29),"")</f>
        <v/>
      </c>
      <c r="AK9" s="42" t="str">
        <f>IF(AND('Mapa final'!$AA$30="Muy Alta",'Mapa final'!$AC$30="Catastrófico"),CONCATENATE("R4C",'Mapa final'!$Q$30),"")</f>
        <v/>
      </c>
      <c r="AL9" s="42" t="str">
        <f>IF(AND('Mapa final'!$AA$31="Muy Alta",'Mapa final'!$AC$31="Catastrófico"),CONCATENATE("R4C",'Mapa final'!$Q$31),"")</f>
        <v/>
      </c>
      <c r="AM9" s="43" t="str">
        <f>IF(AND('Mapa final'!$AA$32="Muy Alta",'Mapa final'!$AC$32="Catastrófico"),CONCATENATE("R4C",'Mapa final'!$Q$32),"")</f>
        <v/>
      </c>
      <c r="AN9" s="70"/>
      <c r="AO9" s="347"/>
      <c r="AP9" s="348"/>
      <c r="AQ9" s="348"/>
      <c r="AR9" s="348"/>
      <c r="AS9" s="348"/>
      <c r="AT9" s="349"/>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85"/>
      <c r="C10" s="285"/>
      <c r="D10" s="286"/>
      <c r="E10" s="326"/>
      <c r="F10" s="327"/>
      <c r="G10" s="327"/>
      <c r="H10" s="327"/>
      <c r="I10" s="328"/>
      <c r="J10" s="38" t="str">
        <f>IF(AND('Mapa final'!$AA$39="Muy Alta",'Mapa final'!$AC$39="Leve"),CONCATENATE("R5C",'Mapa final'!$Q$39),"")</f>
        <v/>
      </c>
      <c r="K10" s="39" t="str">
        <f>IF(AND('Mapa final'!$AA$40="Muy Alta",'Mapa final'!$AC$40="Leve"),CONCATENATE("R5C",'Mapa final'!$Q$40),"")</f>
        <v/>
      </c>
      <c r="L10" s="44" t="str">
        <f>IF(AND('Mapa final'!$AA$41="Muy Alta",'Mapa final'!$AC$41="Leve"),CONCATENATE("R5C",'Mapa final'!$Q$41),"")</f>
        <v/>
      </c>
      <c r="M10" s="44" t="str">
        <f>IF(AND('Mapa final'!$AA$42="Muy Alta",'Mapa final'!$AC$42="Leve"),CONCATENATE("R5C",'Mapa final'!$Q$42),"")</f>
        <v/>
      </c>
      <c r="N10" s="44" t="str">
        <f>IF(AND('Mapa final'!$AA$43="Muy Alta",'Mapa final'!$AC$43="Leve"),CONCATENATE("R5C",'Mapa final'!$Q$43),"")</f>
        <v/>
      </c>
      <c r="O10" s="40" t="str">
        <f>IF(AND('Mapa final'!$AA$44="Muy Alta",'Mapa final'!$AC$44="Leve"),CONCATENATE("R5C",'Mapa final'!$Q$44),"")</f>
        <v/>
      </c>
      <c r="P10" s="38" t="str">
        <f>IF(AND('Mapa final'!$AA$39="Muy Alta",'Mapa final'!$AC$39="Menor"),CONCATENATE("R5C",'Mapa final'!$Q$39),"")</f>
        <v/>
      </c>
      <c r="Q10" s="39" t="str">
        <f>IF(AND('Mapa final'!$AA$40="Muy Alta",'Mapa final'!$AC$40="Menor"),CONCATENATE("R5C",'Mapa final'!$Q$40),"")</f>
        <v/>
      </c>
      <c r="R10" s="44" t="str">
        <f>IF(AND('Mapa final'!$AA$41="Muy Alta",'Mapa final'!$AC$41="Menor"),CONCATENATE("R5C",'Mapa final'!$Q$41),"")</f>
        <v/>
      </c>
      <c r="S10" s="44" t="str">
        <f>IF(AND('Mapa final'!$AA$42="Muy Alta",'Mapa final'!$AC$42="Menor"),CONCATENATE("R5C",'Mapa final'!$Q$42),"")</f>
        <v/>
      </c>
      <c r="T10" s="44" t="str">
        <f>IF(AND('Mapa final'!$AA$43="Muy Alta",'Mapa final'!$AC$43="Menor"),CONCATENATE("R5C",'Mapa final'!$Q$43),"")</f>
        <v/>
      </c>
      <c r="U10" s="40" t="str">
        <f>IF(AND('Mapa final'!$AA$44="Muy Alta",'Mapa final'!$AC$44="Menor"),CONCATENATE("R5C",'Mapa final'!$Q$44),"")</f>
        <v/>
      </c>
      <c r="V10" s="38" t="str">
        <f>IF(AND('Mapa final'!$AA$39="Muy Alta",'Mapa final'!$AC$39="Moderado"),CONCATENATE("R5C",'Mapa final'!$Q$39),"")</f>
        <v/>
      </c>
      <c r="W10" s="39" t="str">
        <f>IF(AND('Mapa final'!$AA$40="Muy Alta",'Mapa final'!$AC$40="Moderado"),CONCATENATE("R5C",'Mapa final'!$Q$40),"")</f>
        <v/>
      </c>
      <c r="X10" s="44" t="str">
        <f>IF(AND('Mapa final'!$AA$41="Muy Alta",'Mapa final'!$AC$41="Moderado"),CONCATENATE("R5C",'Mapa final'!$Q$41),"")</f>
        <v/>
      </c>
      <c r="Y10" s="44" t="str">
        <f>IF(AND('Mapa final'!$AA$42="Muy Alta",'Mapa final'!$AC$42="Moderado"),CONCATENATE("R5C",'Mapa final'!$Q$42),"")</f>
        <v/>
      </c>
      <c r="Z10" s="44" t="str">
        <f>IF(AND('Mapa final'!$AA$43="Muy Alta",'Mapa final'!$AC$43="Moderado"),CONCATENATE("R5C",'Mapa final'!$Q$43),"")</f>
        <v/>
      </c>
      <c r="AA10" s="40" t="str">
        <f>IF(AND('Mapa final'!$AA$44="Muy Alta",'Mapa final'!$AC$44="Moderado"),CONCATENATE("R5C",'Mapa final'!$Q$44),"")</f>
        <v/>
      </c>
      <c r="AB10" s="38" t="str">
        <f>IF(AND('Mapa final'!$AA$39="Muy Alta",'Mapa final'!$AC$39="Mayor"),CONCATENATE("R5C",'Mapa final'!$Q$39),"")</f>
        <v/>
      </c>
      <c r="AC10" s="39" t="str">
        <f>IF(AND('Mapa final'!$AA$40="Muy Alta",'Mapa final'!$AC$40="Mayor"),CONCATENATE("R5C",'Mapa final'!$Q$40),"")</f>
        <v/>
      </c>
      <c r="AD10" s="44" t="str">
        <f>IF(AND('Mapa final'!$AA$41="Muy Alta",'Mapa final'!$AC$41="Mayor"),CONCATENATE("R5C",'Mapa final'!$Q$41),"")</f>
        <v/>
      </c>
      <c r="AE10" s="44" t="str">
        <f>IF(AND('Mapa final'!$AA$42="Muy Alta",'Mapa final'!$AC$42="Mayor"),CONCATENATE("R5C",'Mapa final'!$Q$42),"")</f>
        <v/>
      </c>
      <c r="AF10" s="44" t="str">
        <f>IF(AND('Mapa final'!$AA$43="Muy Alta",'Mapa final'!$AC$43="Mayor"),CONCATENATE("R5C",'Mapa final'!$Q$43),"")</f>
        <v/>
      </c>
      <c r="AG10" s="40" t="str">
        <f>IF(AND('Mapa final'!$AA$44="Muy Alta",'Mapa final'!$AC$44="Mayor"),CONCATENATE("R5C",'Mapa final'!$Q$44),"")</f>
        <v/>
      </c>
      <c r="AH10" s="41" t="str">
        <f>IF(AND('Mapa final'!$AA$39="Muy Alta",'Mapa final'!$AC$39="Catastrófico"),CONCATENATE("R5C",'Mapa final'!$Q$39),"")</f>
        <v/>
      </c>
      <c r="AI10" s="42" t="str">
        <f>IF(AND('Mapa final'!$AA$40="Muy Alta",'Mapa final'!$AC$40="Catastrófico"),CONCATENATE("R5C",'Mapa final'!$Q$40),"")</f>
        <v/>
      </c>
      <c r="AJ10" s="42" t="str">
        <f>IF(AND('Mapa final'!$AA$41="Muy Alta",'Mapa final'!$AC$41="Catastrófico"),CONCATENATE("R5C",'Mapa final'!$Q$41),"")</f>
        <v/>
      </c>
      <c r="AK10" s="42" t="str">
        <f>IF(AND('Mapa final'!$AA$42="Muy Alta",'Mapa final'!$AC$42="Catastrófico"),CONCATENATE("R5C",'Mapa final'!$Q$42),"")</f>
        <v/>
      </c>
      <c r="AL10" s="42" t="str">
        <f>IF(AND('Mapa final'!$AA$43="Muy Alta",'Mapa final'!$AC$43="Catastrófico"),CONCATENATE("R5C",'Mapa final'!$Q$43),"")</f>
        <v/>
      </c>
      <c r="AM10" s="43" t="str">
        <f>IF(AND('Mapa final'!$AA$44="Muy Alta",'Mapa final'!$AC$44="Catastrófico"),CONCATENATE("R5C",'Mapa final'!$Q$44),"")</f>
        <v/>
      </c>
      <c r="AN10" s="70"/>
      <c r="AO10" s="347"/>
      <c r="AP10" s="348"/>
      <c r="AQ10" s="348"/>
      <c r="AR10" s="348"/>
      <c r="AS10" s="348"/>
      <c r="AT10" s="349"/>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85"/>
      <c r="C11" s="285"/>
      <c r="D11" s="286"/>
      <c r="E11" s="326"/>
      <c r="F11" s="327"/>
      <c r="G11" s="327"/>
      <c r="H11" s="327"/>
      <c r="I11" s="328"/>
      <c r="J11" s="38" t="str">
        <f>IF(AND('Mapa final'!$AA$45="Muy Alta",'Mapa final'!$AC$45="Leve"),CONCATENATE("R6C",'Mapa final'!$Q$45),"")</f>
        <v/>
      </c>
      <c r="K11" s="39" t="str">
        <f>IF(AND('Mapa final'!$AA$46="Muy Alta",'Mapa final'!$AC$46="Leve"),CONCATENATE("R6C",'Mapa final'!$Q$46),"")</f>
        <v/>
      </c>
      <c r="L11" s="44" t="str">
        <f>IF(AND('Mapa final'!$AA$47="Muy Alta",'Mapa final'!$AC$47="Leve"),CONCATENATE("R6C",'Mapa final'!$Q$47),"")</f>
        <v/>
      </c>
      <c r="M11" s="44" t="str">
        <f>IF(AND('Mapa final'!$AA$48="Muy Alta",'Mapa final'!$AC$48="Leve"),CONCATENATE("R6C",'Mapa final'!$Q$48),"")</f>
        <v/>
      </c>
      <c r="N11" s="44" t="str">
        <f>IF(AND('Mapa final'!$AA$49="Muy Alta",'Mapa final'!$AC$49="Leve"),CONCATENATE("R6C",'Mapa final'!$Q$49),"")</f>
        <v/>
      </c>
      <c r="O11" s="40" t="str">
        <f>IF(AND('Mapa final'!$AA$50="Muy Alta",'Mapa final'!$AC$50="Leve"),CONCATENATE("R6C",'Mapa final'!$Q$50),"")</f>
        <v/>
      </c>
      <c r="P11" s="38" t="str">
        <f>IF(AND('Mapa final'!$AA$45="Muy Alta",'Mapa final'!$AC$45="Menor"),CONCATENATE("R6C",'Mapa final'!$Q$45),"")</f>
        <v/>
      </c>
      <c r="Q11" s="39" t="str">
        <f>IF(AND('Mapa final'!$AA$46="Muy Alta",'Mapa final'!$AC$46="Menor"),CONCATENATE("R6C",'Mapa final'!$Q$46),"")</f>
        <v/>
      </c>
      <c r="R11" s="44" t="str">
        <f>IF(AND('Mapa final'!$AA$47="Muy Alta",'Mapa final'!$AC$47="Menor"),CONCATENATE("R6C",'Mapa final'!$Q$47),"")</f>
        <v/>
      </c>
      <c r="S11" s="44" t="str">
        <f>IF(AND('Mapa final'!$AA$48="Muy Alta",'Mapa final'!$AC$48="Menor"),CONCATENATE("R6C",'Mapa final'!$Q$48),"")</f>
        <v/>
      </c>
      <c r="T11" s="44" t="str">
        <f>IF(AND('Mapa final'!$AA$49="Muy Alta",'Mapa final'!$AC$49="Menor"),CONCATENATE("R6C",'Mapa final'!$Q$49),"")</f>
        <v/>
      </c>
      <c r="U11" s="40" t="str">
        <f>IF(AND('Mapa final'!$AA$50="Muy Alta",'Mapa final'!$AC$50="Menor"),CONCATENATE("R6C",'Mapa final'!$Q$50),"")</f>
        <v/>
      </c>
      <c r="V11" s="38" t="str">
        <f>IF(AND('Mapa final'!$AA$45="Muy Alta",'Mapa final'!$AC$45="Moderado"),CONCATENATE("R6C",'Mapa final'!$Q$45),"")</f>
        <v/>
      </c>
      <c r="W11" s="39" t="str">
        <f>IF(AND('Mapa final'!$AA$46="Muy Alta",'Mapa final'!$AC$46="Moderado"),CONCATENATE("R6C",'Mapa final'!$Q$46),"")</f>
        <v/>
      </c>
      <c r="X11" s="44" t="str">
        <f>IF(AND('Mapa final'!$AA$47="Muy Alta",'Mapa final'!$AC$47="Moderado"),CONCATENATE("R6C",'Mapa final'!$Q$47),"")</f>
        <v/>
      </c>
      <c r="Y11" s="44" t="str">
        <f>IF(AND('Mapa final'!$AA$48="Muy Alta",'Mapa final'!$AC$48="Moderado"),CONCATENATE("R6C",'Mapa final'!$Q$48),"")</f>
        <v/>
      </c>
      <c r="Z11" s="44" t="str">
        <f>IF(AND('Mapa final'!$AA$49="Muy Alta",'Mapa final'!$AC$49="Moderado"),CONCATENATE("R6C",'Mapa final'!$Q$49),"")</f>
        <v/>
      </c>
      <c r="AA11" s="40" t="str">
        <f>IF(AND('Mapa final'!$AA$50="Muy Alta",'Mapa final'!$AC$50="Moderado"),CONCATENATE("R6C",'Mapa final'!$Q$50),"")</f>
        <v/>
      </c>
      <c r="AB11" s="38" t="str">
        <f>IF(AND('Mapa final'!$AA$45="Muy Alta",'Mapa final'!$AC$45="Mayor"),CONCATENATE("R6C",'Mapa final'!$Q$45),"")</f>
        <v/>
      </c>
      <c r="AC11" s="39" t="str">
        <f>IF(AND('Mapa final'!$AA$46="Muy Alta",'Mapa final'!$AC$46="Mayor"),CONCATENATE("R6C",'Mapa final'!$Q$46),"")</f>
        <v/>
      </c>
      <c r="AD11" s="44" t="str">
        <f>IF(AND('Mapa final'!$AA$47="Muy Alta",'Mapa final'!$AC$47="Mayor"),CONCATENATE("R6C",'Mapa final'!$Q$47),"")</f>
        <v/>
      </c>
      <c r="AE11" s="44" t="str">
        <f>IF(AND('Mapa final'!$AA$48="Muy Alta",'Mapa final'!$AC$48="Mayor"),CONCATENATE("R6C",'Mapa final'!$Q$48),"")</f>
        <v/>
      </c>
      <c r="AF11" s="44" t="str">
        <f>IF(AND('Mapa final'!$AA$49="Muy Alta",'Mapa final'!$AC$49="Mayor"),CONCATENATE("R6C",'Mapa final'!$Q$49),"")</f>
        <v/>
      </c>
      <c r="AG11" s="40" t="str">
        <f>IF(AND('Mapa final'!$AA$50="Muy Alta",'Mapa final'!$AC$50="Mayor"),CONCATENATE("R6C",'Mapa final'!$Q$50),"")</f>
        <v/>
      </c>
      <c r="AH11" s="41" t="str">
        <f>IF(AND('Mapa final'!$AA$45="Muy Alta",'Mapa final'!$AC$45="Catastrófico"),CONCATENATE("R6C",'Mapa final'!$Q$45),"")</f>
        <v/>
      </c>
      <c r="AI11" s="42" t="str">
        <f>IF(AND('Mapa final'!$AA$46="Muy Alta",'Mapa final'!$AC$46="Catastrófico"),CONCATENATE("R6C",'Mapa final'!$Q$46),"")</f>
        <v/>
      </c>
      <c r="AJ11" s="42" t="str">
        <f>IF(AND('Mapa final'!$AA$47="Muy Alta",'Mapa final'!$AC$47="Catastrófico"),CONCATENATE("R6C",'Mapa final'!$Q$47),"")</f>
        <v/>
      </c>
      <c r="AK11" s="42" t="str">
        <f>IF(AND('Mapa final'!$AA$48="Muy Alta",'Mapa final'!$AC$48="Catastrófico"),CONCATENATE("R6C",'Mapa final'!$Q$48),"")</f>
        <v/>
      </c>
      <c r="AL11" s="42" t="str">
        <f>IF(AND('Mapa final'!$AA$49="Muy Alta",'Mapa final'!$AC$49="Catastrófico"),CONCATENATE("R6C",'Mapa final'!$Q$49),"")</f>
        <v/>
      </c>
      <c r="AM11" s="43" t="str">
        <f>IF(AND('Mapa final'!$AA$50="Muy Alta",'Mapa final'!$AC$50="Catastrófico"),CONCATENATE("R6C",'Mapa final'!$Q$50),"")</f>
        <v/>
      </c>
      <c r="AN11" s="70"/>
      <c r="AO11" s="347"/>
      <c r="AP11" s="348"/>
      <c r="AQ11" s="348"/>
      <c r="AR11" s="348"/>
      <c r="AS11" s="348"/>
      <c r="AT11" s="349"/>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85"/>
      <c r="C12" s="285"/>
      <c r="D12" s="286"/>
      <c r="E12" s="326"/>
      <c r="F12" s="327"/>
      <c r="G12" s="327"/>
      <c r="H12" s="327"/>
      <c r="I12" s="328"/>
      <c r="J12" s="38" t="str">
        <f>IF(AND('Mapa final'!$AA$51="Muy Alta",'Mapa final'!$AC$51="Leve"),CONCATENATE("R7C",'Mapa final'!$Q$51),"")</f>
        <v/>
      </c>
      <c r="K12" s="39" t="str">
        <f>IF(AND('Mapa final'!$AA$52="Muy Alta",'Mapa final'!$AC$52="Leve"),CONCATENATE("R7C",'Mapa final'!$Q$52),"")</f>
        <v/>
      </c>
      <c r="L12" s="44" t="str">
        <f>IF(AND('Mapa final'!$AA$53="Muy Alta",'Mapa final'!$AC$53="Leve"),CONCATENATE("R7C",'Mapa final'!$Q$53),"")</f>
        <v/>
      </c>
      <c r="M12" s="44" t="str">
        <f>IF(AND('Mapa final'!$AA$54="Muy Alta",'Mapa final'!$AC$54="Leve"),CONCATENATE("R7C",'Mapa final'!$Q$54),"")</f>
        <v/>
      </c>
      <c r="N12" s="44" t="str">
        <f>IF(AND('Mapa final'!$AA$55="Muy Alta",'Mapa final'!$AC$55="Leve"),CONCATENATE("R7C",'Mapa final'!$Q$55),"")</f>
        <v/>
      </c>
      <c r="O12" s="40" t="str">
        <f>IF(AND('Mapa final'!$AA$56="Muy Alta",'Mapa final'!$AC$56="Leve"),CONCATENATE("R7C",'Mapa final'!$Q$56),"")</f>
        <v/>
      </c>
      <c r="P12" s="38" t="str">
        <f>IF(AND('Mapa final'!$AA$51="Muy Alta",'Mapa final'!$AC$51="Menor"),CONCATENATE("R7C",'Mapa final'!$Q$51),"")</f>
        <v/>
      </c>
      <c r="Q12" s="39" t="str">
        <f>IF(AND('Mapa final'!$AA$52="Muy Alta",'Mapa final'!$AC$52="Menor"),CONCATENATE("R7C",'Mapa final'!$Q$52),"")</f>
        <v/>
      </c>
      <c r="R12" s="44" t="str">
        <f>IF(AND('Mapa final'!$AA$53="Muy Alta",'Mapa final'!$AC$53="Menor"),CONCATENATE("R7C",'Mapa final'!$Q$53),"")</f>
        <v/>
      </c>
      <c r="S12" s="44" t="str">
        <f>IF(AND('Mapa final'!$AA$54="Muy Alta",'Mapa final'!$AC$54="Menor"),CONCATENATE("R7C",'Mapa final'!$Q$54),"")</f>
        <v/>
      </c>
      <c r="T12" s="44" t="str">
        <f>IF(AND('Mapa final'!$AA$55="Muy Alta",'Mapa final'!$AC$55="Menor"),CONCATENATE("R7C",'Mapa final'!$Q$55),"")</f>
        <v/>
      </c>
      <c r="U12" s="40" t="str">
        <f>IF(AND('Mapa final'!$AA$56="Muy Alta",'Mapa final'!$AC$56="Menor"),CONCATENATE("R7C",'Mapa final'!$Q$56),"")</f>
        <v/>
      </c>
      <c r="V12" s="38" t="str">
        <f>IF(AND('Mapa final'!$AA$51="Muy Alta",'Mapa final'!$AC$51="Moderado"),CONCATENATE("R7C",'Mapa final'!$Q$51),"")</f>
        <v/>
      </c>
      <c r="W12" s="39" t="str">
        <f>IF(AND('Mapa final'!$AA$52="Muy Alta",'Mapa final'!$AC$52="Moderado"),CONCATENATE("R7C",'Mapa final'!$Q$52),"")</f>
        <v/>
      </c>
      <c r="X12" s="44" t="str">
        <f>IF(AND('Mapa final'!$AA$53="Muy Alta",'Mapa final'!$AC$53="Moderado"),CONCATENATE("R7C",'Mapa final'!$Q$53),"")</f>
        <v/>
      </c>
      <c r="Y12" s="44" t="str">
        <f>IF(AND('Mapa final'!$AA$54="Muy Alta",'Mapa final'!$AC$54="Moderado"),CONCATENATE("R7C",'Mapa final'!$Q$54),"")</f>
        <v/>
      </c>
      <c r="Z12" s="44" t="str">
        <f>IF(AND('Mapa final'!$AA$55="Muy Alta",'Mapa final'!$AC$55="Moderado"),CONCATENATE("R7C",'Mapa final'!$Q$55),"")</f>
        <v/>
      </c>
      <c r="AA12" s="40" t="str">
        <f>IF(AND('Mapa final'!$AA$56="Muy Alta",'Mapa final'!$AC$56="Moderado"),CONCATENATE("R7C",'Mapa final'!$Q$56),"")</f>
        <v/>
      </c>
      <c r="AB12" s="38" t="str">
        <f>IF(AND('Mapa final'!$AA$51="Muy Alta",'Mapa final'!$AC$51="Mayor"),CONCATENATE("R7C",'Mapa final'!$Q$51),"")</f>
        <v/>
      </c>
      <c r="AC12" s="39" t="str">
        <f>IF(AND('Mapa final'!$AA$52="Muy Alta",'Mapa final'!$AC$52="Mayor"),CONCATENATE("R7C",'Mapa final'!$Q$52),"")</f>
        <v/>
      </c>
      <c r="AD12" s="44" t="str">
        <f>IF(AND('Mapa final'!$AA$53="Muy Alta",'Mapa final'!$AC$53="Mayor"),CONCATENATE("R7C",'Mapa final'!$Q$53),"")</f>
        <v/>
      </c>
      <c r="AE12" s="44" t="str">
        <f>IF(AND('Mapa final'!$AA$54="Muy Alta",'Mapa final'!$AC$54="Mayor"),CONCATENATE("R7C",'Mapa final'!$Q$54),"")</f>
        <v/>
      </c>
      <c r="AF12" s="44" t="str">
        <f>IF(AND('Mapa final'!$AA$55="Muy Alta",'Mapa final'!$AC$55="Mayor"),CONCATENATE("R7C",'Mapa final'!$Q$55),"")</f>
        <v/>
      </c>
      <c r="AG12" s="40" t="str">
        <f>IF(AND('Mapa final'!$AA$56="Muy Alta",'Mapa final'!$AC$56="Mayor"),CONCATENATE("R7C",'Mapa final'!$Q$56),"")</f>
        <v/>
      </c>
      <c r="AH12" s="41" t="str">
        <f>IF(AND('Mapa final'!$AA$51="Muy Alta",'Mapa final'!$AC$51="Catastrófico"),CONCATENATE("R7C",'Mapa final'!$Q$51),"")</f>
        <v/>
      </c>
      <c r="AI12" s="42" t="str">
        <f>IF(AND('Mapa final'!$AA$52="Muy Alta",'Mapa final'!$AC$52="Catastrófico"),CONCATENATE("R7C",'Mapa final'!$Q$52),"")</f>
        <v/>
      </c>
      <c r="AJ12" s="42" t="str">
        <f>IF(AND('Mapa final'!$AA$53="Muy Alta",'Mapa final'!$AC$53="Catastrófico"),CONCATENATE("R7C",'Mapa final'!$Q$53),"")</f>
        <v/>
      </c>
      <c r="AK12" s="42" t="str">
        <f>IF(AND('Mapa final'!$AA$54="Muy Alta",'Mapa final'!$AC$54="Catastrófico"),CONCATENATE("R7C",'Mapa final'!$Q$54),"")</f>
        <v/>
      </c>
      <c r="AL12" s="42" t="str">
        <f>IF(AND('Mapa final'!$AA$55="Muy Alta",'Mapa final'!$AC$55="Catastrófico"),CONCATENATE("R7C",'Mapa final'!$Q$55),"")</f>
        <v/>
      </c>
      <c r="AM12" s="43" t="str">
        <f>IF(AND('Mapa final'!$AA$56="Muy Alta",'Mapa final'!$AC$56="Catastrófico"),CONCATENATE("R7C",'Mapa final'!$Q$56),"")</f>
        <v/>
      </c>
      <c r="AN12" s="70"/>
      <c r="AO12" s="347"/>
      <c r="AP12" s="348"/>
      <c r="AQ12" s="348"/>
      <c r="AR12" s="348"/>
      <c r="AS12" s="348"/>
      <c r="AT12" s="349"/>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85"/>
      <c r="C13" s="285"/>
      <c r="D13" s="286"/>
      <c r="E13" s="326"/>
      <c r="F13" s="327"/>
      <c r="G13" s="327"/>
      <c r="H13" s="327"/>
      <c r="I13" s="328"/>
      <c r="J13" s="38" t="str">
        <f>IF(AND('Mapa final'!$AA$57="Muy Alta",'Mapa final'!$AC$57="Leve"),CONCATENATE("R8C",'Mapa final'!$Q$57),"")</f>
        <v/>
      </c>
      <c r="K13" s="39" t="str">
        <f>IF(AND('Mapa final'!$AA$58="Muy Alta",'Mapa final'!$AC$58="Leve"),CONCATENATE("R8C",'Mapa final'!$Q$58),"")</f>
        <v/>
      </c>
      <c r="L13" s="44" t="str">
        <f>IF(AND('Mapa final'!$AA$59="Muy Alta",'Mapa final'!$AC$59="Leve"),CONCATENATE("R8C",'Mapa final'!$Q$59),"")</f>
        <v/>
      </c>
      <c r="M13" s="44" t="str">
        <f>IF(AND('Mapa final'!$AA$60="Muy Alta",'Mapa final'!$AC$60="Leve"),CONCATENATE("R8C",'Mapa final'!$Q$60),"")</f>
        <v/>
      </c>
      <c r="N13" s="44" t="str">
        <f>IF(AND('Mapa final'!$AA$61="Muy Alta",'Mapa final'!$AC$61="Leve"),CONCATENATE("R8C",'Mapa final'!$Q$61),"")</f>
        <v/>
      </c>
      <c r="O13" s="40" t="str">
        <f>IF(AND('Mapa final'!$AA$62="Muy Alta",'Mapa final'!$AC$62="Leve"),CONCATENATE("R8C",'Mapa final'!$Q$62),"")</f>
        <v/>
      </c>
      <c r="P13" s="38" t="str">
        <f>IF(AND('Mapa final'!$AA$57="Muy Alta",'Mapa final'!$AC$57="Menor"),CONCATENATE("R8C",'Mapa final'!$Q$57),"")</f>
        <v/>
      </c>
      <c r="Q13" s="39" t="str">
        <f>IF(AND('Mapa final'!$AA$58="Muy Alta",'Mapa final'!$AC$58="Menor"),CONCATENATE("R8C",'Mapa final'!$Q$58),"")</f>
        <v/>
      </c>
      <c r="R13" s="44" t="str">
        <f>IF(AND('Mapa final'!$AA$59="Muy Alta",'Mapa final'!$AC$59="Menor"),CONCATENATE("R8C",'Mapa final'!$Q$59),"")</f>
        <v/>
      </c>
      <c r="S13" s="44" t="str">
        <f>IF(AND('Mapa final'!$AA$60="Muy Alta",'Mapa final'!$AC$60="Menor"),CONCATENATE("R8C",'Mapa final'!$Q$60),"")</f>
        <v/>
      </c>
      <c r="T13" s="44" t="str">
        <f>IF(AND('Mapa final'!$AA$61="Muy Alta",'Mapa final'!$AC$61="Menor"),CONCATENATE("R8C",'Mapa final'!$Q$61),"")</f>
        <v/>
      </c>
      <c r="U13" s="40" t="str">
        <f>IF(AND('Mapa final'!$AA$62="Muy Alta",'Mapa final'!$AC$62="Menor"),CONCATENATE("R8C",'Mapa final'!$Q$62),"")</f>
        <v/>
      </c>
      <c r="V13" s="38" t="str">
        <f>IF(AND('Mapa final'!$AA$57="Muy Alta",'Mapa final'!$AC$57="Moderado"),CONCATENATE("R8C",'Mapa final'!$Q$57),"")</f>
        <v/>
      </c>
      <c r="W13" s="39" t="str">
        <f>IF(AND('Mapa final'!$AA$58="Muy Alta",'Mapa final'!$AC$58="Moderado"),CONCATENATE("R8C",'Mapa final'!$Q$58),"")</f>
        <v/>
      </c>
      <c r="X13" s="44" t="str">
        <f>IF(AND('Mapa final'!$AA$59="Muy Alta",'Mapa final'!$AC$59="Moderado"),CONCATENATE("R8C",'Mapa final'!$Q$59),"")</f>
        <v/>
      </c>
      <c r="Y13" s="44" t="str">
        <f>IF(AND('Mapa final'!$AA$60="Muy Alta",'Mapa final'!$AC$60="Moderado"),CONCATENATE("R8C",'Mapa final'!$Q$60),"")</f>
        <v/>
      </c>
      <c r="Z13" s="44" t="str">
        <f>IF(AND('Mapa final'!$AA$61="Muy Alta",'Mapa final'!$AC$61="Moderado"),CONCATENATE("R8C",'Mapa final'!$Q$61),"")</f>
        <v/>
      </c>
      <c r="AA13" s="40" t="str">
        <f>IF(AND('Mapa final'!$AA$62="Muy Alta",'Mapa final'!$AC$62="Moderado"),CONCATENATE("R8C",'Mapa final'!$Q$62),"")</f>
        <v/>
      </c>
      <c r="AB13" s="38" t="str">
        <f>IF(AND('Mapa final'!$AA$57="Muy Alta",'Mapa final'!$AC$57="Mayor"),CONCATENATE("R8C",'Mapa final'!$Q$57),"")</f>
        <v/>
      </c>
      <c r="AC13" s="39" t="str">
        <f>IF(AND('Mapa final'!$AA$58="Muy Alta",'Mapa final'!$AC$58="Mayor"),CONCATENATE("R8C",'Mapa final'!$Q$58),"")</f>
        <v/>
      </c>
      <c r="AD13" s="44" t="str">
        <f>IF(AND('Mapa final'!$AA$59="Muy Alta",'Mapa final'!$AC$59="Mayor"),CONCATENATE("R8C",'Mapa final'!$Q$59),"")</f>
        <v/>
      </c>
      <c r="AE13" s="44" t="str">
        <f>IF(AND('Mapa final'!$AA$60="Muy Alta",'Mapa final'!$AC$60="Mayor"),CONCATENATE("R8C",'Mapa final'!$Q$60),"")</f>
        <v/>
      </c>
      <c r="AF13" s="44" t="str">
        <f>IF(AND('Mapa final'!$AA$61="Muy Alta",'Mapa final'!$AC$61="Mayor"),CONCATENATE("R8C",'Mapa final'!$Q$61),"")</f>
        <v/>
      </c>
      <c r="AG13" s="40" t="str">
        <f>IF(AND('Mapa final'!$AA$62="Muy Alta",'Mapa final'!$AC$62="Mayor"),CONCATENATE("R8C",'Mapa final'!$Q$62),"")</f>
        <v/>
      </c>
      <c r="AH13" s="41" t="str">
        <f>IF(AND('Mapa final'!$AA$57="Muy Alta",'Mapa final'!$AC$57="Catastrófico"),CONCATENATE("R8C",'Mapa final'!$Q$57),"")</f>
        <v/>
      </c>
      <c r="AI13" s="42" t="str">
        <f>IF(AND('Mapa final'!$AA$58="Muy Alta",'Mapa final'!$AC$58="Catastrófico"),CONCATENATE("R8C",'Mapa final'!$Q$58),"")</f>
        <v/>
      </c>
      <c r="AJ13" s="42" t="str">
        <f>IF(AND('Mapa final'!$AA$59="Muy Alta",'Mapa final'!$AC$59="Catastrófico"),CONCATENATE("R8C",'Mapa final'!$Q$59),"")</f>
        <v/>
      </c>
      <c r="AK13" s="42" t="str">
        <f>IF(AND('Mapa final'!$AA$60="Muy Alta",'Mapa final'!$AC$60="Catastrófico"),CONCATENATE("R8C",'Mapa final'!$Q$60),"")</f>
        <v/>
      </c>
      <c r="AL13" s="42" t="str">
        <f>IF(AND('Mapa final'!$AA$61="Muy Alta",'Mapa final'!$AC$61="Catastrófico"),CONCATENATE("R8C",'Mapa final'!$Q$61),"")</f>
        <v/>
      </c>
      <c r="AM13" s="43" t="str">
        <f>IF(AND('Mapa final'!$AA$62="Muy Alta",'Mapa final'!$AC$62="Catastrófico"),CONCATENATE("R8C",'Mapa final'!$Q$62),"")</f>
        <v/>
      </c>
      <c r="AN13" s="70"/>
      <c r="AO13" s="347"/>
      <c r="AP13" s="348"/>
      <c r="AQ13" s="348"/>
      <c r="AR13" s="348"/>
      <c r="AS13" s="348"/>
      <c r="AT13" s="34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85"/>
      <c r="C14" s="285"/>
      <c r="D14" s="286"/>
      <c r="E14" s="326"/>
      <c r="F14" s="327"/>
      <c r="G14" s="327"/>
      <c r="H14" s="327"/>
      <c r="I14" s="328"/>
      <c r="J14" s="38" t="str">
        <f>IF(AND('Mapa final'!$AA$63="Muy Alta",'Mapa final'!$AC$63="Leve"),CONCATENATE("R9C",'Mapa final'!$Q$63),"")</f>
        <v/>
      </c>
      <c r="K14" s="39" t="str">
        <f>IF(AND('Mapa final'!$AA$64="Muy Alta",'Mapa final'!$AC$64="Leve"),CONCATENATE("R9C",'Mapa final'!$Q$64),"")</f>
        <v/>
      </c>
      <c r="L14" s="44" t="str">
        <f>IF(AND('Mapa final'!$AA$65="Muy Alta",'Mapa final'!$AC$65="Leve"),CONCATENATE("R9C",'Mapa final'!$Q$65),"")</f>
        <v/>
      </c>
      <c r="M14" s="44" t="str">
        <f>IF(AND('Mapa final'!$AA$66="Muy Alta",'Mapa final'!$AC$66="Leve"),CONCATENATE("R9C",'Mapa final'!$Q$66),"")</f>
        <v/>
      </c>
      <c r="N14" s="44" t="str">
        <f>IF(AND('Mapa final'!$AA$67="Muy Alta",'Mapa final'!$AC$67="Leve"),CONCATENATE("R9C",'Mapa final'!$Q$67),"")</f>
        <v/>
      </c>
      <c r="O14" s="40" t="str">
        <f>IF(AND('Mapa final'!$AA$68="Muy Alta",'Mapa final'!$AC$68="Leve"),CONCATENATE("R9C",'Mapa final'!$Q$68),"")</f>
        <v/>
      </c>
      <c r="P14" s="38" t="str">
        <f>IF(AND('Mapa final'!$AA$63="Muy Alta",'Mapa final'!$AC$63="Menor"),CONCATENATE("R9C",'Mapa final'!$Q$63),"")</f>
        <v/>
      </c>
      <c r="Q14" s="39" t="str">
        <f>IF(AND('Mapa final'!$AA$64="Muy Alta",'Mapa final'!$AC$64="Menor"),CONCATENATE("R9C",'Mapa final'!$Q$64),"")</f>
        <v/>
      </c>
      <c r="R14" s="44" t="str">
        <f>IF(AND('Mapa final'!$AA$65="Muy Alta",'Mapa final'!$AC$65="Menor"),CONCATENATE("R9C",'Mapa final'!$Q$65),"")</f>
        <v/>
      </c>
      <c r="S14" s="44" t="str">
        <f>IF(AND('Mapa final'!$AA$66="Muy Alta",'Mapa final'!$AC$66="Menor"),CONCATENATE("R9C",'Mapa final'!$Q$66),"")</f>
        <v/>
      </c>
      <c r="T14" s="44" t="str">
        <f>IF(AND('Mapa final'!$AA$67="Muy Alta",'Mapa final'!$AC$67="Menor"),CONCATENATE("R9C",'Mapa final'!$Q$67),"")</f>
        <v/>
      </c>
      <c r="U14" s="40" t="str">
        <f>IF(AND('Mapa final'!$AA$68="Muy Alta",'Mapa final'!$AC$68="Menor"),CONCATENATE("R9C",'Mapa final'!$Q$68),"")</f>
        <v/>
      </c>
      <c r="V14" s="38" t="str">
        <f>IF(AND('Mapa final'!$AA$63="Muy Alta",'Mapa final'!$AC$63="Moderado"),CONCATENATE("R9C",'Mapa final'!$Q$63),"")</f>
        <v/>
      </c>
      <c r="W14" s="39" t="str">
        <f>IF(AND('Mapa final'!$AA$64="Muy Alta",'Mapa final'!$AC$64="Moderado"),CONCATENATE("R9C",'Mapa final'!$Q$64),"")</f>
        <v/>
      </c>
      <c r="X14" s="44" t="str">
        <f>IF(AND('Mapa final'!$AA$65="Muy Alta",'Mapa final'!$AC$65="Moderado"),CONCATENATE("R9C",'Mapa final'!$Q$65),"")</f>
        <v/>
      </c>
      <c r="Y14" s="44" t="str">
        <f>IF(AND('Mapa final'!$AA$66="Muy Alta",'Mapa final'!$AC$66="Moderado"),CONCATENATE("R9C",'Mapa final'!$Q$66),"")</f>
        <v/>
      </c>
      <c r="Z14" s="44" t="str">
        <f>IF(AND('Mapa final'!$AA$67="Muy Alta",'Mapa final'!$AC$67="Moderado"),CONCATENATE("R9C",'Mapa final'!$Q$67),"")</f>
        <v/>
      </c>
      <c r="AA14" s="40" t="str">
        <f>IF(AND('Mapa final'!$AA$68="Muy Alta",'Mapa final'!$AC$68="Moderado"),CONCATENATE("R9C",'Mapa final'!$Q$68),"")</f>
        <v/>
      </c>
      <c r="AB14" s="38" t="str">
        <f>IF(AND('Mapa final'!$AA$63="Muy Alta",'Mapa final'!$AC$63="Mayor"),CONCATENATE("R9C",'Mapa final'!$Q$63),"")</f>
        <v/>
      </c>
      <c r="AC14" s="39" t="str">
        <f>IF(AND('Mapa final'!$AA$64="Muy Alta",'Mapa final'!$AC$64="Mayor"),CONCATENATE("R9C",'Mapa final'!$Q$64),"")</f>
        <v/>
      </c>
      <c r="AD14" s="44" t="str">
        <f>IF(AND('Mapa final'!$AA$65="Muy Alta",'Mapa final'!$AC$65="Mayor"),CONCATENATE("R9C",'Mapa final'!$Q$65),"")</f>
        <v/>
      </c>
      <c r="AE14" s="44" t="str">
        <f>IF(AND('Mapa final'!$AA$66="Muy Alta",'Mapa final'!$AC$66="Mayor"),CONCATENATE("R9C",'Mapa final'!$Q$66),"")</f>
        <v/>
      </c>
      <c r="AF14" s="44" t="str">
        <f>IF(AND('Mapa final'!$AA$67="Muy Alta",'Mapa final'!$AC$67="Mayor"),CONCATENATE("R9C",'Mapa final'!$Q$67),"")</f>
        <v/>
      </c>
      <c r="AG14" s="40" t="str">
        <f>IF(AND('Mapa final'!$AA$68="Muy Alta",'Mapa final'!$AC$68="Mayor"),CONCATENATE("R9C",'Mapa final'!$Q$68),"")</f>
        <v/>
      </c>
      <c r="AH14" s="41" t="str">
        <f>IF(AND('Mapa final'!$AA$63="Muy Alta",'Mapa final'!$AC$63="Catastrófico"),CONCATENATE("R9C",'Mapa final'!$Q$63),"")</f>
        <v/>
      </c>
      <c r="AI14" s="42" t="str">
        <f>IF(AND('Mapa final'!$AA$64="Muy Alta",'Mapa final'!$AC$64="Catastrófico"),CONCATENATE("R9C",'Mapa final'!$Q$64),"")</f>
        <v/>
      </c>
      <c r="AJ14" s="42" t="str">
        <f>IF(AND('Mapa final'!$AA$65="Muy Alta",'Mapa final'!$AC$65="Catastrófico"),CONCATENATE("R9C",'Mapa final'!$Q$65),"")</f>
        <v/>
      </c>
      <c r="AK14" s="42" t="str">
        <f>IF(AND('Mapa final'!$AA$66="Muy Alta",'Mapa final'!$AC$66="Catastrófico"),CONCATENATE("R9C",'Mapa final'!$Q$66),"")</f>
        <v/>
      </c>
      <c r="AL14" s="42" t="str">
        <f>IF(AND('Mapa final'!$AA$67="Muy Alta",'Mapa final'!$AC$67="Catastrófico"),CONCATENATE("R9C",'Mapa final'!$Q$67),"")</f>
        <v/>
      </c>
      <c r="AM14" s="43" t="str">
        <f>IF(AND('Mapa final'!$AA$68="Muy Alta",'Mapa final'!$AC$68="Catastrófico"),CONCATENATE("R9C",'Mapa final'!$Q$68),"")</f>
        <v/>
      </c>
      <c r="AN14" s="70"/>
      <c r="AO14" s="347"/>
      <c r="AP14" s="348"/>
      <c r="AQ14" s="348"/>
      <c r="AR14" s="348"/>
      <c r="AS14" s="348"/>
      <c r="AT14" s="349"/>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85"/>
      <c r="C15" s="285"/>
      <c r="D15" s="286"/>
      <c r="E15" s="329"/>
      <c r="F15" s="330"/>
      <c r="G15" s="330"/>
      <c r="H15" s="330"/>
      <c r="I15" s="331"/>
      <c r="J15" s="45" t="str">
        <f>IF(AND('Mapa final'!$AA$69="Muy Alta",'Mapa final'!$AC$69="Leve"),CONCATENATE("R10C",'Mapa final'!$Q$69),"")</f>
        <v/>
      </c>
      <c r="K15" s="46" t="str">
        <f>IF(AND('Mapa final'!$AA$70="Muy Alta",'Mapa final'!$AC$70="Leve"),CONCATENATE("R10C",'Mapa final'!$Q$70),"")</f>
        <v/>
      </c>
      <c r="L15" s="46" t="str">
        <f>IF(AND('Mapa final'!$AA$71="Muy Alta",'Mapa final'!$AC$71="Leve"),CONCATENATE("R10C",'Mapa final'!$Q$71),"")</f>
        <v/>
      </c>
      <c r="M15" s="46" t="str">
        <f>IF(AND('Mapa final'!$AA$72="Muy Alta",'Mapa final'!$AC$72="Leve"),CONCATENATE("R10C",'Mapa final'!$Q$72),"")</f>
        <v/>
      </c>
      <c r="N15" s="46" t="str">
        <f>IF(AND('Mapa final'!$AA$73="Muy Alta",'Mapa final'!$AC$73="Leve"),CONCATENATE("R10C",'Mapa final'!$Q$73),"")</f>
        <v/>
      </c>
      <c r="O15" s="47" t="str">
        <f>IF(AND('Mapa final'!$AA$74="Muy Alta",'Mapa final'!$AC$74="Leve"),CONCATENATE("R10C",'Mapa final'!$Q$74),"")</f>
        <v/>
      </c>
      <c r="P15" s="38" t="str">
        <f>IF(AND('Mapa final'!$AA$69="Muy Alta",'Mapa final'!$AC$69="Menor"),CONCATENATE("R10C",'Mapa final'!$Q$69),"")</f>
        <v/>
      </c>
      <c r="Q15" s="39" t="str">
        <f>IF(AND('Mapa final'!$AA$70="Muy Alta",'Mapa final'!$AC$70="Menor"),CONCATENATE("R10C",'Mapa final'!$Q$70),"")</f>
        <v/>
      </c>
      <c r="R15" s="39" t="str">
        <f>IF(AND('Mapa final'!$AA$71="Muy Alta",'Mapa final'!$AC$71="Menor"),CONCATENATE("R10C",'Mapa final'!$Q$71),"")</f>
        <v/>
      </c>
      <c r="S15" s="39" t="str">
        <f>IF(AND('Mapa final'!$AA$72="Muy Alta",'Mapa final'!$AC$72="Menor"),CONCATENATE("R10C",'Mapa final'!$Q$72),"")</f>
        <v/>
      </c>
      <c r="T15" s="39" t="str">
        <f>IF(AND('Mapa final'!$AA$73="Muy Alta",'Mapa final'!$AC$73="Menor"),CONCATENATE("R10C",'Mapa final'!$Q$73),"")</f>
        <v/>
      </c>
      <c r="U15" s="40" t="str">
        <f>IF(AND('Mapa final'!$AA$74="Muy Alta",'Mapa final'!$AC$74="Menor"),CONCATENATE("R10C",'Mapa final'!$Q$74),"")</f>
        <v/>
      </c>
      <c r="V15" s="45" t="str">
        <f>IF(AND('Mapa final'!$AA$69="Muy Alta",'Mapa final'!$AC$69="Moderado"),CONCATENATE("R10C",'Mapa final'!$Q$69),"")</f>
        <v/>
      </c>
      <c r="W15" s="46" t="str">
        <f>IF(AND('Mapa final'!$AA$70="Muy Alta",'Mapa final'!$AC$70="Moderado"),CONCATENATE("R10C",'Mapa final'!$Q$70),"")</f>
        <v/>
      </c>
      <c r="X15" s="46" t="str">
        <f>IF(AND('Mapa final'!$AA$71="Muy Alta",'Mapa final'!$AC$71="Moderado"),CONCATENATE("R10C",'Mapa final'!$Q$71),"")</f>
        <v/>
      </c>
      <c r="Y15" s="46" t="str">
        <f>IF(AND('Mapa final'!$AA$72="Muy Alta",'Mapa final'!$AC$72="Moderado"),CONCATENATE("R10C",'Mapa final'!$Q$72),"")</f>
        <v/>
      </c>
      <c r="Z15" s="46" t="str">
        <f>IF(AND('Mapa final'!$AA$73="Muy Alta",'Mapa final'!$AC$73="Moderado"),CONCATENATE("R10C",'Mapa final'!$Q$73),"")</f>
        <v/>
      </c>
      <c r="AA15" s="47" t="str">
        <f>IF(AND('Mapa final'!$AA$74="Muy Alta",'Mapa final'!$AC$74="Moderado"),CONCATENATE("R10C",'Mapa final'!$Q$74),"")</f>
        <v/>
      </c>
      <c r="AB15" s="38" t="str">
        <f>IF(AND('Mapa final'!$AA$69="Muy Alta",'Mapa final'!$AC$69="Mayor"),CONCATENATE("R10C",'Mapa final'!$Q$69),"")</f>
        <v/>
      </c>
      <c r="AC15" s="39" t="str">
        <f>IF(AND('Mapa final'!$AA$70="Muy Alta",'Mapa final'!$AC$70="Mayor"),CONCATENATE("R10C",'Mapa final'!$Q$70),"")</f>
        <v/>
      </c>
      <c r="AD15" s="39" t="str">
        <f>IF(AND('Mapa final'!$AA$71="Muy Alta",'Mapa final'!$AC$71="Mayor"),CONCATENATE("R10C",'Mapa final'!$Q$71),"")</f>
        <v/>
      </c>
      <c r="AE15" s="39" t="str">
        <f>IF(AND('Mapa final'!$AA$72="Muy Alta",'Mapa final'!$AC$72="Mayor"),CONCATENATE("R10C",'Mapa final'!$Q$72),"")</f>
        <v/>
      </c>
      <c r="AF15" s="39" t="str">
        <f>IF(AND('Mapa final'!$AA$73="Muy Alta",'Mapa final'!$AC$73="Mayor"),CONCATENATE("R10C",'Mapa final'!$Q$73),"")</f>
        <v/>
      </c>
      <c r="AG15" s="40" t="str">
        <f>IF(AND('Mapa final'!$AA$74="Muy Alta",'Mapa final'!$AC$74="Mayor"),CONCATENATE("R10C",'Mapa final'!$Q$74),"")</f>
        <v/>
      </c>
      <c r="AH15" s="48" t="str">
        <f>IF(AND('Mapa final'!$AA$69="Muy Alta",'Mapa final'!$AC$69="Catastrófico"),CONCATENATE("R10C",'Mapa final'!$Q$69),"")</f>
        <v/>
      </c>
      <c r="AI15" s="49" t="str">
        <f>IF(AND('Mapa final'!$AA$70="Muy Alta",'Mapa final'!$AC$70="Catastrófico"),CONCATENATE("R10C",'Mapa final'!$Q$70),"")</f>
        <v/>
      </c>
      <c r="AJ15" s="49" t="str">
        <f>IF(AND('Mapa final'!$AA$71="Muy Alta",'Mapa final'!$AC$71="Catastrófico"),CONCATENATE("R10C",'Mapa final'!$Q$71),"")</f>
        <v/>
      </c>
      <c r="AK15" s="49" t="str">
        <f>IF(AND('Mapa final'!$AA$72="Muy Alta",'Mapa final'!$AC$72="Catastrófico"),CONCATENATE("R10C",'Mapa final'!$Q$72),"")</f>
        <v/>
      </c>
      <c r="AL15" s="49" t="str">
        <f>IF(AND('Mapa final'!$AA$73="Muy Alta",'Mapa final'!$AC$73="Catastrófico"),CONCATENATE("R10C",'Mapa final'!$Q$73),"")</f>
        <v/>
      </c>
      <c r="AM15" s="50" t="str">
        <f>IF(AND('Mapa final'!$AA$74="Muy Alta",'Mapa final'!$AC$74="Catastrófico"),CONCATENATE("R10C",'Mapa final'!$Q$74),"")</f>
        <v/>
      </c>
      <c r="AN15" s="70"/>
      <c r="AO15" s="350"/>
      <c r="AP15" s="351"/>
      <c r="AQ15" s="351"/>
      <c r="AR15" s="351"/>
      <c r="AS15" s="351"/>
      <c r="AT15" s="352"/>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85"/>
      <c r="C16" s="285"/>
      <c r="D16" s="286"/>
      <c r="E16" s="323" t="s">
        <v>111</v>
      </c>
      <c r="F16" s="324"/>
      <c r="G16" s="324"/>
      <c r="H16" s="324"/>
      <c r="I16" s="324"/>
      <c r="J16" s="51" t="str">
        <f>IF(AND('Mapa final'!$AA$9="Alta",'Mapa final'!$AC$9="Leve"),CONCATENATE("R1C",'Mapa final'!$Q$9),"")</f>
        <v/>
      </c>
      <c r="K16" s="52" t="str">
        <f>IF(AND('Mapa final'!$AA$10="Alta",'Mapa final'!$AC$10="Leve"),CONCATENATE("R1C",'Mapa final'!$Q$10),"")</f>
        <v/>
      </c>
      <c r="L16" s="52" t="str">
        <f>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IF(AND('Mapa final'!$AA$9="Alta",'Mapa final'!$AC$9="Menor"),CONCATENATE("R1C",'Mapa final'!$Q$9),"")</f>
        <v/>
      </c>
      <c r="Q16" s="52" t="str">
        <f>IF(AND('Mapa final'!$AA$10="Alta",'Mapa final'!$AC$10="Menor"),CONCATENATE("R1C",'Mapa final'!$Q$10),"")</f>
        <v/>
      </c>
      <c r="R16" s="52" t="str">
        <f>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IF(AND('Mapa final'!$AA$9="Alta",'Mapa final'!$AC$9="Moderado"),CONCATENATE("R1C",'Mapa final'!$Q$9),"")</f>
        <v/>
      </c>
      <c r="W16" s="33" t="str">
        <f>IF(AND('Mapa final'!$AA$10="Alta",'Mapa final'!$AC$10="Moderado"),CONCATENATE("R1C",'Mapa final'!$Q$10),"")</f>
        <v/>
      </c>
      <c r="X16" s="33" t="str">
        <f>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IF(AND('Mapa final'!$AA$9="Alta",'Mapa final'!$AC$9="Mayor"),CONCATENATE("R1C",'Mapa final'!$Q$9),"")</f>
        <v/>
      </c>
      <c r="AC16" s="33" t="str">
        <f>IF(AND('Mapa final'!$AA$10="Alta",'Mapa final'!$AC$10="Mayor"),CONCATENATE("R1C",'Mapa final'!$Q$10),"")</f>
        <v/>
      </c>
      <c r="AD16" s="33" t="str">
        <f>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IF(AND('Mapa final'!$AA$9="Alta",'Mapa final'!$AC$9="Catastrófico"),CONCATENATE("R1C",'Mapa final'!$Q$9),"")</f>
        <v/>
      </c>
      <c r="AI16" s="36" t="str">
        <f>IF(AND('Mapa final'!$AA$10="Alta",'Mapa final'!$AC$10="Catastrófico"),CONCATENATE("R1C",'Mapa final'!$Q$10),"")</f>
        <v/>
      </c>
      <c r="AJ16" s="36" t="str">
        <f>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33" t="s">
        <v>76</v>
      </c>
      <c r="AP16" s="334"/>
      <c r="AQ16" s="334"/>
      <c r="AR16" s="334"/>
      <c r="AS16" s="334"/>
      <c r="AT16" s="335"/>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85"/>
      <c r="C17" s="285"/>
      <c r="D17" s="286"/>
      <c r="E17" s="342"/>
      <c r="F17" s="343"/>
      <c r="G17" s="343"/>
      <c r="H17" s="343"/>
      <c r="I17" s="343"/>
      <c r="J17" s="54" t="str">
        <f>IF(AND('Mapa final'!$AA$15="Alta",'Mapa final'!$AC$15="Leve"),CONCATENATE("R2C",'Mapa final'!$Q$15),"")</f>
        <v/>
      </c>
      <c r="K17" s="55" t="str">
        <f>IF(AND('Mapa final'!$AA$16="Alta",'Mapa final'!$AC$16="Leve"),CONCATENATE("R2C",'Mapa final'!$Q$16),"")</f>
        <v/>
      </c>
      <c r="L17" s="55" t="str">
        <f>IF(AND('Mapa final'!$AA$17="Alta",'Mapa final'!$AC$17="Leve"),CONCATENATE("R2C",'Mapa final'!$Q$17),"")</f>
        <v/>
      </c>
      <c r="M17" s="55" t="str">
        <f>IF(AND('Mapa final'!$AA$18="Alta",'Mapa final'!$AC$18="Leve"),CONCATENATE("R2C",'Mapa final'!$Q$18),"")</f>
        <v/>
      </c>
      <c r="N17" s="55" t="str">
        <f>IF(AND('Mapa final'!$AA$19="Alta",'Mapa final'!$AC$19="Leve"),CONCATENATE("R2C",'Mapa final'!$Q$19),"")</f>
        <v/>
      </c>
      <c r="O17" s="56" t="str">
        <f>IF(AND('Mapa final'!$AA$20="Alta",'Mapa final'!$AC$20="Leve"),CONCATENATE("R2C",'Mapa final'!$Q$20),"")</f>
        <v/>
      </c>
      <c r="P17" s="54" t="str">
        <f>IF(AND('Mapa final'!$AA$15="Alta",'Mapa final'!$AC$15="Menor"),CONCATENATE("R2C",'Mapa final'!$Q$15),"")</f>
        <v/>
      </c>
      <c r="Q17" s="55" t="str">
        <f>IF(AND('Mapa final'!$AA$16="Alta",'Mapa final'!$AC$16="Menor"),CONCATENATE("R2C",'Mapa final'!$Q$16),"")</f>
        <v/>
      </c>
      <c r="R17" s="55" t="str">
        <f>IF(AND('Mapa final'!$AA$17="Alta",'Mapa final'!$AC$17="Menor"),CONCATENATE("R2C",'Mapa final'!$Q$17),"")</f>
        <v/>
      </c>
      <c r="S17" s="55" t="str">
        <f>IF(AND('Mapa final'!$AA$18="Alta",'Mapa final'!$AC$18="Menor"),CONCATENATE("R2C",'Mapa final'!$Q$18),"")</f>
        <v/>
      </c>
      <c r="T17" s="55" t="str">
        <f>IF(AND('Mapa final'!$AA$19="Alta",'Mapa final'!$AC$19="Menor"),CONCATENATE("R2C",'Mapa final'!$Q$19),"")</f>
        <v/>
      </c>
      <c r="U17" s="56" t="str">
        <f>IF(AND('Mapa final'!$AA$20="Alta",'Mapa final'!$AC$20="Menor"),CONCATENATE("R2C",'Mapa final'!$Q$20),"")</f>
        <v/>
      </c>
      <c r="V17" s="38" t="str">
        <f>IF(AND('Mapa final'!$AA$15="Alta",'Mapa final'!$AC$15="Moderado"),CONCATENATE("R2C",'Mapa final'!$Q$15),"")</f>
        <v/>
      </c>
      <c r="W17" s="39" t="str">
        <f>IF(AND('Mapa final'!$AA$16="Alta",'Mapa final'!$AC$16="Moderado"),CONCATENATE("R2C",'Mapa final'!$Q$16),"")</f>
        <v/>
      </c>
      <c r="X17" s="39" t="str">
        <f>IF(AND('Mapa final'!$AA$17="Alta",'Mapa final'!$AC$17="Moderado"),CONCATENATE("R2C",'Mapa final'!$Q$17),"")</f>
        <v/>
      </c>
      <c r="Y17" s="39" t="str">
        <f>IF(AND('Mapa final'!$AA$18="Alta",'Mapa final'!$AC$18="Moderado"),CONCATENATE("R2C",'Mapa final'!$Q$18),"")</f>
        <v/>
      </c>
      <c r="Z17" s="39" t="str">
        <f>IF(AND('Mapa final'!$AA$19="Alta",'Mapa final'!$AC$19="Moderado"),CONCATENATE("R2C",'Mapa final'!$Q$19),"")</f>
        <v/>
      </c>
      <c r="AA17" s="40" t="str">
        <f>IF(AND('Mapa final'!$AA$20="Alta",'Mapa final'!$AC$20="Moderado"),CONCATENATE("R2C",'Mapa final'!$Q$20),"")</f>
        <v/>
      </c>
      <c r="AB17" s="38" t="str">
        <f>IF(AND('Mapa final'!$AA$15="Alta",'Mapa final'!$AC$15="Mayor"),CONCATENATE("R2C",'Mapa final'!$Q$15),"")</f>
        <v/>
      </c>
      <c r="AC17" s="39" t="str">
        <f>IF(AND('Mapa final'!$AA$16="Alta",'Mapa final'!$AC$16="Mayor"),CONCATENATE("R2C",'Mapa final'!$Q$16),"")</f>
        <v/>
      </c>
      <c r="AD17" s="39" t="str">
        <f>IF(AND('Mapa final'!$AA$17="Alta",'Mapa final'!$AC$17="Mayor"),CONCATENATE("R2C",'Mapa final'!$Q$17),"")</f>
        <v/>
      </c>
      <c r="AE17" s="39" t="str">
        <f>IF(AND('Mapa final'!$AA$18="Alta",'Mapa final'!$AC$18="Mayor"),CONCATENATE("R2C",'Mapa final'!$Q$18),"")</f>
        <v/>
      </c>
      <c r="AF17" s="39" t="str">
        <f>IF(AND('Mapa final'!$AA$19="Alta",'Mapa final'!$AC$19="Mayor"),CONCATENATE("R2C",'Mapa final'!$Q$19),"")</f>
        <v/>
      </c>
      <c r="AG17" s="40" t="str">
        <f>IF(AND('Mapa final'!$AA$20="Alta",'Mapa final'!$AC$20="Mayor"),CONCATENATE("R2C",'Mapa final'!$Q$20),"")</f>
        <v/>
      </c>
      <c r="AH17" s="41" t="str">
        <f>IF(AND('Mapa final'!$AA$15="Alta",'Mapa final'!$AC$15="Catastrófico"),CONCATENATE("R2C",'Mapa final'!$Q$15),"")</f>
        <v/>
      </c>
      <c r="AI17" s="42" t="str">
        <f>IF(AND('Mapa final'!$AA$16="Alta",'Mapa final'!$AC$16="Catastrófico"),CONCATENATE("R2C",'Mapa final'!$Q$16),"")</f>
        <v/>
      </c>
      <c r="AJ17" s="42" t="str">
        <f>IF(AND('Mapa final'!$AA$17="Alta",'Mapa final'!$AC$17="Catastrófico"),CONCATENATE("R2C",'Mapa final'!$Q$17),"")</f>
        <v/>
      </c>
      <c r="AK17" s="42" t="str">
        <f>IF(AND('Mapa final'!$AA$18="Alta",'Mapa final'!$AC$18="Catastrófico"),CONCATENATE("R2C",'Mapa final'!$Q$18),"")</f>
        <v/>
      </c>
      <c r="AL17" s="42" t="str">
        <f>IF(AND('Mapa final'!$AA$19="Alta",'Mapa final'!$AC$19="Catastrófico"),CONCATENATE("R2C",'Mapa final'!$Q$19),"")</f>
        <v/>
      </c>
      <c r="AM17" s="43" t="str">
        <f>IF(AND('Mapa final'!$AA$20="Alta",'Mapa final'!$AC$20="Catastrófico"),CONCATENATE("R2C",'Mapa final'!$Q$20),"")</f>
        <v/>
      </c>
      <c r="AN17" s="70"/>
      <c r="AO17" s="336"/>
      <c r="AP17" s="337"/>
      <c r="AQ17" s="337"/>
      <c r="AR17" s="337"/>
      <c r="AS17" s="337"/>
      <c r="AT17" s="338"/>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85"/>
      <c r="C18" s="285"/>
      <c r="D18" s="286"/>
      <c r="E18" s="326"/>
      <c r="F18" s="327"/>
      <c r="G18" s="327"/>
      <c r="H18" s="327"/>
      <c r="I18" s="343"/>
      <c r="J18" s="54" t="str">
        <f>IF(AND('Mapa final'!$AA$21="Alta",'Mapa final'!$AC$21="Leve"),CONCATENATE("R3C",'Mapa final'!$Q$21),"")</f>
        <v/>
      </c>
      <c r="K18" s="55" t="str">
        <f>IF(AND('Mapa final'!$AA$22="Alta",'Mapa final'!$AC$22="Leve"),CONCATENATE("R3C",'Mapa final'!$Q$22),"")</f>
        <v/>
      </c>
      <c r="L18" s="55" t="str">
        <f>IF(AND('Mapa final'!$AA$23="Alta",'Mapa final'!$AC$23="Leve"),CONCATENATE("R3C",'Mapa final'!$Q$23),"")</f>
        <v/>
      </c>
      <c r="M18" s="55" t="str">
        <f>IF(AND('Mapa final'!$AA$24="Alta",'Mapa final'!$AC$24="Leve"),CONCATENATE("R3C",'Mapa final'!$Q$24),"")</f>
        <v/>
      </c>
      <c r="N18" s="55" t="str">
        <f>IF(AND('Mapa final'!$AA$25="Alta",'Mapa final'!$AC$25="Leve"),CONCATENATE("R3C",'Mapa final'!$Q$25),"")</f>
        <v/>
      </c>
      <c r="O18" s="56" t="str">
        <f>IF(AND('Mapa final'!$AA$26="Alta",'Mapa final'!$AC$26="Leve"),CONCATENATE("R3C",'Mapa final'!$Q$26),"")</f>
        <v/>
      </c>
      <c r="P18" s="54" t="str">
        <f>IF(AND('Mapa final'!$AA$21="Alta",'Mapa final'!$AC$21="Menor"),CONCATENATE("R3C",'Mapa final'!$Q$21),"")</f>
        <v/>
      </c>
      <c r="Q18" s="55" t="str">
        <f>IF(AND('Mapa final'!$AA$22="Alta",'Mapa final'!$AC$22="Menor"),CONCATENATE("R3C",'Mapa final'!$Q$22),"")</f>
        <v/>
      </c>
      <c r="R18" s="55" t="str">
        <f>IF(AND('Mapa final'!$AA$23="Alta",'Mapa final'!$AC$23="Menor"),CONCATENATE("R3C",'Mapa final'!$Q$23),"")</f>
        <v/>
      </c>
      <c r="S18" s="55" t="str">
        <f>IF(AND('Mapa final'!$AA$24="Alta",'Mapa final'!$AC$24="Menor"),CONCATENATE("R3C",'Mapa final'!$Q$24),"")</f>
        <v/>
      </c>
      <c r="T18" s="55" t="str">
        <f>IF(AND('Mapa final'!$AA$25="Alta",'Mapa final'!$AC$25="Menor"),CONCATENATE("R3C",'Mapa final'!$Q$25),"")</f>
        <v/>
      </c>
      <c r="U18" s="56" t="str">
        <f>IF(AND('Mapa final'!$AA$26="Alta",'Mapa final'!$AC$26="Menor"),CONCATENATE("R3C",'Mapa final'!$Q$26),"")</f>
        <v/>
      </c>
      <c r="V18" s="38" t="str">
        <f>IF(AND('Mapa final'!$AA$21="Alta",'Mapa final'!$AC$21="Moderado"),CONCATENATE("R3C",'Mapa final'!$Q$21),"")</f>
        <v/>
      </c>
      <c r="W18" s="39" t="str">
        <f>IF(AND('Mapa final'!$AA$22="Alta",'Mapa final'!$AC$22="Moderado"),CONCATENATE("R3C",'Mapa final'!$Q$22),"")</f>
        <v/>
      </c>
      <c r="X18" s="39" t="str">
        <f>IF(AND('Mapa final'!$AA$23="Alta",'Mapa final'!$AC$23="Moderado"),CONCATENATE("R3C",'Mapa final'!$Q$23),"")</f>
        <v/>
      </c>
      <c r="Y18" s="39" t="str">
        <f>IF(AND('Mapa final'!$AA$24="Alta",'Mapa final'!$AC$24="Moderado"),CONCATENATE("R3C",'Mapa final'!$Q$24),"")</f>
        <v/>
      </c>
      <c r="Z18" s="39" t="str">
        <f>IF(AND('Mapa final'!$AA$25="Alta",'Mapa final'!$AC$25="Moderado"),CONCATENATE("R3C",'Mapa final'!$Q$25),"")</f>
        <v/>
      </c>
      <c r="AA18" s="40" t="str">
        <f>IF(AND('Mapa final'!$AA$26="Alta",'Mapa final'!$AC$26="Moderado"),CONCATENATE("R3C",'Mapa final'!$Q$26),"")</f>
        <v/>
      </c>
      <c r="AB18" s="38" t="str">
        <f>IF(AND('Mapa final'!$AA$21="Alta",'Mapa final'!$AC$21="Mayor"),CONCATENATE("R3C",'Mapa final'!$Q$21),"")</f>
        <v/>
      </c>
      <c r="AC18" s="39" t="str">
        <f>IF(AND('Mapa final'!$AA$22="Alta",'Mapa final'!$AC$22="Mayor"),CONCATENATE("R3C",'Mapa final'!$Q$22),"")</f>
        <v/>
      </c>
      <c r="AD18" s="39" t="str">
        <f>IF(AND('Mapa final'!$AA$23="Alta",'Mapa final'!$AC$23="Mayor"),CONCATENATE("R3C",'Mapa final'!$Q$23),"")</f>
        <v/>
      </c>
      <c r="AE18" s="39" t="str">
        <f>IF(AND('Mapa final'!$AA$24="Alta",'Mapa final'!$AC$24="Mayor"),CONCATENATE("R3C",'Mapa final'!$Q$24),"")</f>
        <v/>
      </c>
      <c r="AF18" s="39" t="str">
        <f>IF(AND('Mapa final'!$AA$25="Alta",'Mapa final'!$AC$25="Mayor"),CONCATENATE("R3C",'Mapa final'!$Q$25),"")</f>
        <v/>
      </c>
      <c r="AG18" s="40" t="str">
        <f>IF(AND('Mapa final'!$AA$26="Alta",'Mapa final'!$AC$26="Mayor"),CONCATENATE("R3C",'Mapa final'!$Q$26),"")</f>
        <v/>
      </c>
      <c r="AH18" s="41" t="str">
        <f>IF(AND('Mapa final'!$AA$21="Alta",'Mapa final'!$AC$21="Catastrófico"),CONCATENATE("R3C",'Mapa final'!$Q$21),"")</f>
        <v/>
      </c>
      <c r="AI18" s="42" t="str">
        <f>IF(AND('Mapa final'!$AA$22="Alta",'Mapa final'!$AC$22="Catastrófico"),CONCATENATE("R3C",'Mapa final'!$Q$22),"")</f>
        <v/>
      </c>
      <c r="AJ18" s="42" t="str">
        <f>IF(AND('Mapa final'!$AA$23="Alta",'Mapa final'!$AC$23="Catastrófico"),CONCATENATE("R3C",'Mapa final'!$Q$23),"")</f>
        <v/>
      </c>
      <c r="AK18" s="42" t="str">
        <f>IF(AND('Mapa final'!$AA$24="Alta",'Mapa final'!$AC$24="Catastrófico"),CONCATENATE("R3C",'Mapa final'!$Q$24),"")</f>
        <v/>
      </c>
      <c r="AL18" s="42" t="str">
        <f>IF(AND('Mapa final'!$AA$25="Alta",'Mapa final'!$AC$25="Catastrófico"),CONCATENATE("R3C",'Mapa final'!$Q$25),"")</f>
        <v/>
      </c>
      <c r="AM18" s="43" t="str">
        <f>IF(AND('Mapa final'!$AA$26="Alta",'Mapa final'!$AC$26="Catastrófico"),CONCATENATE("R3C",'Mapa final'!$Q$26),"")</f>
        <v/>
      </c>
      <c r="AN18" s="70"/>
      <c r="AO18" s="336"/>
      <c r="AP18" s="337"/>
      <c r="AQ18" s="337"/>
      <c r="AR18" s="337"/>
      <c r="AS18" s="337"/>
      <c r="AT18" s="338"/>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85"/>
      <c r="C19" s="285"/>
      <c r="D19" s="286"/>
      <c r="E19" s="326"/>
      <c r="F19" s="327"/>
      <c r="G19" s="327"/>
      <c r="H19" s="327"/>
      <c r="I19" s="343"/>
      <c r="J19" s="54" t="str">
        <f>IF(AND('Mapa final'!$AA$27="Alta",'Mapa final'!$AC$27="Leve"),CONCATENATE("R4C",'Mapa final'!$Q$27),"")</f>
        <v/>
      </c>
      <c r="K19" s="55" t="str">
        <f>IF(AND('Mapa final'!$AA$28="Alta",'Mapa final'!$AC$28="Leve"),CONCATENATE("R4C",'Mapa final'!$Q$28),"")</f>
        <v/>
      </c>
      <c r="L19" s="55" t="str">
        <f>IF(AND('Mapa final'!$AA$29="Alta",'Mapa final'!$AC$29="Leve"),CONCATENATE("R4C",'Mapa final'!$Q$29),"")</f>
        <v/>
      </c>
      <c r="M19" s="55" t="str">
        <f>IF(AND('Mapa final'!$AA$30="Alta",'Mapa final'!$AC$30="Leve"),CONCATENATE("R4C",'Mapa final'!$Q$30),"")</f>
        <v/>
      </c>
      <c r="N19" s="55" t="str">
        <f>IF(AND('Mapa final'!$AA$31="Alta",'Mapa final'!$AC$31="Leve"),CONCATENATE("R4C",'Mapa final'!$Q$31),"")</f>
        <v/>
      </c>
      <c r="O19" s="56" t="str">
        <f>IF(AND('Mapa final'!$AA$32="Alta",'Mapa final'!$AC$32="Leve"),CONCATENATE("R4C",'Mapa final'!$Q$32),"")</f>
        <v/>
      </c>
      <c r="P19" s="54" t="str">
        <f>IF(AND('Mapa final'!$AA$27="Alta",'Mapa final'!$AC$27="Menor"),CONCATENATE("R4C",'Mapa final'!$Q$27),"")</f>
        <v/>
      </c>
      <c r="Q19" s="55" t="str">
        <f>IF(AND('Mapa final'!$AA$28="Alta",'Mapa final'!$AC$28="Menor"),CONCATENATE("R4C",'Mapa final'!$Q$28),"")</f>
        <v/>
      </c>
      <c r="R19" s="55" t="str">
        <f>IF(AND('Mapa final'!$AA$29="Alta",'Mapa final'!$AC$29="Menor"),CONCATENATE("R4C",'Mapa final'!$Q$29),"")</f>
        <v/>
      </c>
      <c r="S19" s="55" t="str">
        <f>IF(AND('Mapa final'!$AA$30="Alta",'Mapa final'!$AC$30="Menor"),CONCATENATE("R4C",'Mapa final'!$Q$30),"")</f>
        <v/>
      </c>
      <c r="T19" s="55" t="str">
        <f>IF(AND('Mapa final'!$AA$31="Alta",'Mapa final'!$AC$31="Menor"),CONCATENATE("R4C",'Mapa final'!$Q$31),"")</f>
        <v/>
      </c>
      <c r="U19" s="56" t="str">
        <f>IF(AND('Mapa final'!$AA$32="Alta",'Mapa final'!$AC$32="Menor"),CONCATENATE("R4C",'Mapa final'!$Q$32),"")</f>
        <v/>
      </c>
      <c r="V19" s="38" t="str">
        <f>IF(AND('Mapa final'!$AA$27="Alta",'Mapa final'!$AC$27="Moderado"),CONCATENATE("R4C",'Mapa final'!$Q$27),"")</f>
        <v/>
      </c>
      <c r="W19" s="39" t="str">
        <f>IF(AND('Mapa final'!$AA$28="Alta",'Mapa final'!$AC$28="Moderado"),CONCATENATE("R4C",'Mapa final'!$Q$28),"")</f>
        <v/>
      </c>
      <c r="X19" s="44" t="str">
        <f>IF(AND('Mapa final'!$AA$29="Alta",'Mapa final'!$AC$29="Moderado"),CONCATENATE("R4C",'Mapa final'!$Q$29),"")</f>
        <v/>
      </c>
      <c r="Y19" s="44" t="str">
        <f>IF(AND('Mapa final'!$AA$30="Alta",'Mapa final'!$AC$30="Moderado"),CONCATENATE("R4C",'Mapa final'!$Q$30),"")</f>
        <v/>
      </c>
      <c r="Z19" s="44" t="str">
        <f>IF(AND('Mapa final'!$AA$31="Alta",'Mapa final'!$AC$31="Moderado"),CONCATENATE("R4C",'Mapa final'!$Q$31),"")</f>
        <v/>
      </c>
      <c r="AA19" s="40" t="str">
        <f>IF(AND('Mapa final'!$AA$32="Alta",'Mapa final'!$AC$32="Moderado"),CONCATENATE("R4C",'Mapa final'!$Q$32),"")</f>
        <v/>
      </c>
      <c r="AB19" s="38" t="str">
        <f>IF(AND('Mapa final'!$AA$27="Alta",'Mapa final'!$AC$27="Mayor"),CONCATENATE("R4C",'Mapa final'!$Q$27),"")</f>
        <v/>
      </c>
      <c r="AC19" s="39" t="str">
        <f>IF(AND('Mapa final'!$AA$28="Alta",'Mapa final'!$AC$28="Mayor"),CONCATENATE("R4C",'Mapa final'!$Q$28),"")</f>
        <v/>
      </c>
      <c r="AD19" s="44" t="str">
        <f>IF(AND('Mapa final'!$AA$29="Alta",'Mapa final'!$AC$29="Mayor"),CONCATENATE("R4C",'Mapa final'!$Q$29),"")</f>
        <v/>
      </c>
      <c r="AE19" s="44" t="str">
        <f>IF(AND('Mapa final'!$AA$30="Alta",'Mapa final'!$AC$30="Mayor"),CONCATENATE("R4C",'Mapa final'!$Q$30),"")</f>
        <v/>
      </c>
      <c r="AF19" s="44" t="str">
        <f>IF(AND('Mapa final'!$AA$31="Alta",'Mapa final'!$AC$31="Mayor"),CONCATENATE("R4C",'Mapa final'!$Q$31),"")</f>
        <v/>
      </c>
      <c r="AG19" s="40" t="str">
        <f>IF(AND('Mapa final'!$AA$32="Alta",'Mapa final'!$AC$32="Mayor"),CONCATENATE("R4C",'Mapa final'!$Q$32),"")</f>
        <v/>
      </c>
      <c r="AH19" s="41" t="str">
        <f>IF(AND('Mapa final'!$AA$27="Alta",'Mapa final'!$AC$27="Catastrófico"),CONCATENATE("R4C",'Mapa final'!$Q$27),"")</f>
        <v/>
      </c>
      <c r="AI19" s="42" t="str">
        <f>IF(AND('Mapa final'!$AA$28="Alta",'Mapa final'!$AC$28="Catastrófico"),CONCATENATE("R4C",'Mapa final'!$Q$28),"")</f>
        <v/>
      </c>
      <c r="AJ19" s="42" t="str">
        <f>IF(AND('Mapa final'!$AA$29="Alta",'Mapa final'!$AC$29="Catastrófico"),CONCATENATE("R4C",'Mapa final'!$Q$29),"")</f>
        <v/>
      </c>
      <c r="AK19" s="42" t="str">
        <f>IF(AND('Mapa final'!$AA$30="Alta",'Mapa final'!$AC$30="Catastrófico"),CONCATENATE("R4C",'Mapa final'!$Q$30),"")</f>
        <v/>
      </c>
      <c r="AL19" s="42" t="str">
        <f>IF(AND('Mapa final'!$AA$31="Alta",'Mapa final'!$AC$31="Catastrófico"),CONCATENATE("R4C",'Mapa final'!$Q$31),"")</f>
        <v/>
      </c>
      <c r="AM19" s="43" t="str">
        <f>IF(AND('Mapa final'!$AA$32="Alta",'Mapa final'!$AC$32="Catastrófico"),CONCATENATE("R4C",'Mapa final'!$Q$32),"")</f>
        <v/>
      </c>
      <c r="AN19" s="70"/>
      <c r="AO19" s="336"/>
      <c r="AP19" s="337"/>
      <c r="AQ19" s="337"/>
      <c r="AR19" s="337"/>
      <c r="AS19" s="337"/>
      <c r="AT19" s="338"/>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85"/>
      <c r="C20" s="285"/>
      <c r="D20" s="286"/>
      <c r="E20" s="326"/>
      <c r="F20" s="327"/>
      <c r="G20" s="327"/>
      <c r="H20" s="327"/>
      <c r="I20" s="343"/>
      <c r="J20" s="54" t="str">
        <f>IF(AND('Mapa final'!$AA$39="Alta",'Mapa final'!$AC$39="Leve"),CONCATENATE("R5C",'Mapa final'!$Q$39),"")</f>
        <v/>
      </c>
      <c r="K20" s="55" t="str">
        <f>IF(AND('Mapa final'!$AA$40="Alta",'Mapa final'!$AC$40="Leve"),CONCATENATE("R5C",'Mapa final'!$Q$40),"")</f>
        <v/>
      </c>
      <c r="L20" s="55" t="str">
        <f>IF(AND('Mapa final'!$AA$41="Alta",'Mapa final'!$AC$41="Leve"),CONCATENATE("R5C",'Mapa final'!$Q$41),"")</f>
        <v/>
      </c>
      <c r="M20" s="55" t="str">
        <f>IF(AND('Mapa final'!$AA$42="Alta",'Mapa final'!$AC$42="Leve"),CONCATENATE("R5C",'Mapa final'!$Q$42),"")</f>
        <v/>
      </c>
      <c r="N20" s="55" t="str">
        <f>IF(AND('Mapa final'!$AA$43="Alta",'Mapa final'!$AC$43="Leve"),CONCATENATE("R5C",'Mapa final'!$Q$43),"")</f>
        <v/>
      </c>
      <c r="O20" s="56" t="str">
        <f>IF(AND('Mapa final'!$AA$44="Alta",'Mapa final'!$AC$44="Leve"),CONCATENATE("R5C",'Mapa final'!$Q$44),"")</f>
        <v/>
      </c>
      <c r="P20" s="54" t="str">
        <f>IF(AND('Mapa final'!$AA$39="Alta",'Mapa final'!$AC$39="Menor"),CONCATENATE("R5C",'Mapa final'!$Q$39),"")</f>
        <v/>
      </c>
      <c r="Q20" s="55" t="str">
        <f>IF(AND('Mapa final'!$AA$40="Alta",'Mapa final'!$AC$40="Menor"),CONCATENATE("R5C",'Mapa final'!$Q$40),"")</f>
        <v/>
      </c>
      <c r="R20" s="55" t="str">
        <f>IF(AND('Mapa final'!$AA$41="Alta",'Mapa final'!$AC$41="Menor"),CONCATENATE("R5C",'Mapa final'!$Q$41),"")</f>
        <v/>
      </c>
      <c r="S20" s="55" t="str">
        <f>IF(AND('Mapa final'!$AA$42="Alta",'Mapa final'!$AC$42="Menor"),CONCATENATE("R5C",'Mapa final'!$Q$42),"")</f>
        <v/>
      </c>
      <c r="T20" s="55" t="str">
        <f>IF(AND('Mapa final'!$AA$43="Alta",'Mapa final'!$AC$43="Menor"),CONCATENATE("R5C",'Mapa final'!$Q$43),"")</f>
        <v/>
      </c>
      <c r="U20" s="56" t="str">
        <f>IF(AND('Mapa final'!$AA$44="Alta",'Mapa final'!$AC$44="Menor"),CONCATENATE("R5C",'Mapa final'!$Q$44),"")</f>
        <v/>
      </c>
      <c r="V20" s="38" t="str">
        <f>IF(AND('Mapa final'!$AA$39="Alta",'Mapa final'!$AC$39="Moderado"),CONCATENATE("R5C",'Mapa final'!$Q$39),"")</f>
        <v/>
      </c>
      <c r="W20" s="39" t="str">
        <f>IF(AND('Mapa final'!$AA$40="Alta",'Mapa final'!$AC$40="Moderado"),CONCATENATE("R5C",'Mapa final'!$Q$40),"")</f>
        <v/>
      </c>
      <c r="X20" s="44" t="str">
        <f>IF(AND('Mapa final'!$AA$41="Alta",'Mapa final'!$AC$41="Moderado"),CONCATENATE("R5C",'Mapa final'!$Q$41),"")</f>
        <v/>
      </c>
      <c r="Y20" s="44" t="str">
        <f>IF(AND('Mapa final'!$AA$42="Alta",'Mapa final'!$AC$42="Moderado"),CONCATENATE("R5C",'Mapa final'!$Q$42),"")</f>
        <v/>
      </c>
      <c r="Z20" s="44" t="str">
        <f>IF(AND('Mapa final'!$AA$43="Alta",'Mapa final'!$AC$43="Moderado"),CONCATENATE("R5C",'Mapa final'!$Q$43),"")</f>
        <v/>
      </c>
      <c r="AA20" s="40" t="str">
        <f>IF(AND('Mapa final'!$AA$44="Alta",'Mapa final'!$AC$44="Moderado"),CONCATENATE("R5C",'Mapa final'!$Q$44),"")</f>
        <v/>
      </c>
      <c r="AB20" s="38" t="str">
        <f>IF(AND('Mapa final'!$AA$39="Alta",'Mapa final'!$AC$39="Mayor"),CONCATENATE("R5C",'Mapa final'!$Q$39),"")</f>
        <v/>
      </c>
      <c r="AC20" s="39" t="str">
        <f>IF(AND('Mapa final'!$AA$40="Alta",'Mapa final'!$AC$40="Mayor"),CONCATENATE("R5C",'Mapa final'!$Q$40),"")</f>
        <v/>
      </c>
      <c r="AD20" s="44" t="str">
        <f>IF(AND('Mapa final'!$AA$41="Alta",'Mapa final'!$AC$41="Mayor"),CONCATENATE("R5C",'Mapa final'!$Q$41),"")</f>
        <v/>
      </c>
      <c r="AE20" s="44" t="str">
        <f>IF(AND('Mapa final'!$AA$42="Alta",'Mapa final'!$AC$42="Mayor"),CONCATENATE("R5C",'Mapa final'!$Q$42),"")</f>
        <v/>
      </c>
      <c r="AF20" s="44" t="str">
        <f>IF(AND('Mapa final'!$AA$43="Alta",'Mapa final'!$AC$43="Mayor"),CONCATENATE("R5C",'Mapa final'!$Q$43),"")</f>
        <v/>
      </c>
      <c r="AG20" s="40" t="str">
        <f>IF(AND('Mapa final'!$AA$44="Alta",'Mapa final'!$AC$44="Mayor"),CONCATENATE("R5C",'Mapa final'!$Q$44),"")</f>
        <v/>
      </c>
      <c r="AH20" s="41" t="str">
        <f>IF(AND('Mapa final'!$AA$39="Alta",'Mapa final'!$AC$39="Catastrófico"),CONCATENATE("R5C",'Mapa final'!$Q$39),"")</f>
        <v/>
      </c>
      <c r="AI20" s="42" t="str">
        <f>IF(AND('Mapa final'!$AA$40="Alta",'Mapa final'!$AC$40="Catastrófico"),CONCATENATE("R5C",'Mapa final'!$Q$40),"")</f>
        <v/>
      </c>
      <c r="AJ20" s="42" t="str">
        <f>IF(AND('Mapa final'!$AA$41="Alta",'Mapa final'!$AC$41="Catastrófico"),CONCATENATE("R5C",'Mapa final'!$Q$41),"")</f>
        <v/>
      </c>
      <c r="AK20" s="42" t="str">
        <f>IF(AND('Mapa final'!$AA$42="Alta",'Mapa final'!$AC$42="Catastrófico"),CONCATENATE("R5C",'Mapa final'!$Q$42),"")</f>
        <v/>
      </c>
      <c r="AL20" s="42" t="str">
        <f>IF(AND('Mapa final'!$AA$43="Alta",'Mapa final'!$AC$43="Catastrófico"),CONCATENATE("R5C",'Mapa final'!$Q$43),"")</f>
        <v/>
      </c>
      <c r="AM20" s="43" t="str">
        <f>IF(AND('Mapa final'!$AA$44="Alta",'Mapa final'!$AC$44="Catastrófico"),CONCATENATE("R5C",'Mapa final'!$Q$44),"")</f>
        <v/>
      </c>
      <c r="AN20" s="70"/>
      <c r="AO20" s="336"/>
      <c r="AP20" s="337"/>
      <c r="AQ20" s="337"/>
      <c r="AR20" s="337"/>
      <c r="AS20" s="337"/>
      <c r="AT20" s="338"/>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85"/>
      <c r="C21" s="285"/>
      <c r="D21" s="286"/>
      <c r="E21" s="326"/>
      <c r="F21" s="327"/>
      <c r="G21" s="327"/>
      <c r="H21" s="327"/>
      <c r="I21" s="343"/>
      <c r="J21" s="54" t="str">
        <f>IF(AND('Mapa final'!$AA$45="Alta",'Mapa final'!$AC$45="Leve"),CONCATENATE("R6C",'Mapa final'!$Q$45),"")</f>
        <v/>
      </c>
      <c r="K21" s="55" t="str">
        <f>IF(AND('Mapa final'!$AA$46="Alta",'Mapa final'!$AC$46="Leve"),CONCATENATE("R6C",'Mapa final'!$Q$46),"")</f>
        <v/>
      </c>
      <c r="L21" s="55" t="str">
        <f>IF(AND('Mapa final'!$AA$47="Alta",'Mapa final'!$AC$47="Leve"),CONCATENATE("R6C",'Mapa final'!$Q$47),"")</f>
        <v/>
      </c>
      <c r="M21" s="55" t="str">
        <f>IF(AND('Mapa final'!$AA$48="Alta",'Mapa final'!$AC$48="Leve"),CONCATENATE("R6C",'Mapa final'!$Q$48),"")</f>
        <v/>
      </c>
      <c r="N21" s="55" t="str">
        <f>IF(AND('Mapa final'!$AA$49="Alta",'Mapa final'!$AC$49="Leve"),CONCATENATE("R6C",'Mapa final'!$Q$49),"")</f>
        <v/>
      </c>
      <c r="O21" s="56" t="str">
        <f>IF(AND('Mapa final'!$AA$50="Alta",'Mapa final'!$AC$50="Leve"),CONCATENATE("R6C",'Mapa final'!$Q$50),"")</f>
        <v/>
      </c>
      <c r="P21" s="54" t="str">
        <f>IF(AND('Mapa final'!$AA$45="Alta",'Mapa final'!$AC$45="Menor"),CONCATENATE("R6C",'Mapa final'!$Q$45),"")</f>
        <v/>
      </c>
      <c r="Q21" s="55" t="str">
        <f>IF(AND('Mapa final'!$AA$46="Alta",'Mapa final'!$AC$46="Menor"),CONCATENATE("R6C",'Mapa final'!$Q$46),"")</f>
        <v/>
      </c>
      <c r="R21" s="55" t="str">
        <f>IF(AND('Mapa final'!$AA$47="Alta",'Mapa final'!$AC$47="Menor"),CONCATENATE("R6C",'Mapa final'!$Q$47),"")</f>
        <v/>
      </c>
      <c r="S21" s="55" t="str">
        <f>IF(AND('Mapa final'!$AA$48="Alta",'Mapa final'!$AC$48="Menor"),CONCATENATE("R6C",'Mapa final'!$Q$48),"")</f>
        <v/>
      </c>
      <c r="T21" s="55" t="str">
        <f>IF(AND('Mapa final'!$AA$49="Alta",'Mapa final'!$AC$49="Menor"),CONCATENATE("R6C",'Mapa final'!$Q$49),"")</f>
        <v/>
      </c>
      <c r="U21" s="56" t="str">
        <f>IF(AND('Mapa final'!$AA$50="Alta",'Mapa final'!$AC$50="Menor"),CONCATENATE("R6C",'Mapa final'!$Q$50),"")</f>
        <v/>
      </c>
      <c r="V21" s="38" t="str">
        <f>IF(AND('Mapa final'!$AA$45="Alta",'Mapa final'!$AC$45="Moderado"),CONCATENATE("R6C",'Mapa final'!$Q$45),"")</f>
        <v/>
      </c>
      <c r="W21" s="39" t="str">
        <f>IF(AND('Mapa final'!$AA$46="Alta",'Mapa final'!$AC$46="Moderado"),CONCATENATE("R6C",'Mapa final'!$Q$46),"")</f>
        <v/>
      </c>
      <c r="X21" s="44" t="str">
        <f>IF(AND('Mapa final'!$AA$47="Alta",'Mapa final'!$AC$47="Moderado"),CONCATENATE("R6C",'Mapa final'!$Q$47),"")</f>
        <v/>
      </c>
      <c r="Y21" s="44" t="str">
        <f>IF(AND('Mapa final'!$AA$48="Alta",'Mapa final'!$AC$48="Moderado"),CONCATENATE("R6C",'Mapa final'!$Q$48),"")</f>
        <v/>
      </c>
      <c r="Z21" s="44" t="str">
        <f>IF(AND('Mapa final'!$AA$49="Alta",'Mapa final'!$AC$49="Moderado"),CONCATENATE("R6C",'Mapa final'!$Q$49),"")</f>
        <v/>
      </c>
      <c r="AA21" s="40" t="str">
        <f>IF(AND('Mapa final'!$AA$50="Alta",'Mapa final'!$AC$50="Moderado"),CONCATENATE("R6C",'Mapa final'!$Q$50),"")</f>
        <v/>
      </c>
      <c r="AB21" s="38" t="str">
        <f>IF(AND('Mapa final'!$AA$45="Alta",'Mapa final'!$AC$45="Mayor"),CONCATENATE("R6C",'Mapa final'!$Q$45),"")</f>
        <v/>
      </c>
      <c r="AC21" s="39" t="str">
        <f>IF(AND('Mapa final'!$AA$46="Alta",'Mapa final'!$AC$46="Mayor"),CONCATENATE("R6C",'Mapa final'!$Q$46),"")</f>
        <v/>
      </c>
      <c r="AD21" s="44" t="str">
        <f>IF(AND('Mapa final'!$AA$47="Alta",'Mapa final'!$AC$47="Mayor"),CONCATENATE("R6C",'Mapa final'!$Q$47),"")</f>
        <v/>
      </c>
      <c r="AE21" s="44" t="str">
        <f>IF(AND('Mapa final'!$AA$48="Alta",'Mapa final'!$AC$48="Mayor"),CONCATENATE("R6C",'Mapa final'!$Q$48),"")</f>
        <v/>
      </c>
      <c r="AF21" s="44" t="str">
        <f>IF(AND('Mapa final'!$AA$49="Alta",'Mapa final'!$AC$49="Mayor"),CONCATENATE("R6C",'Mapa final'!$Q$49),"")</f>
        <v/>
      </c>
      <c r="AG21" s="40" t="str">
        <f>IF(AND('Mapa final'!$AA$50="Alta",'Mapa final'!$AC$50="Mayor"),CONCATENATE("R6C",'Mapa final'!$Q$50),"")</f>
        <v/>
      </c>
      <c r="AH21" s="41" t="str">
        <f>IF(AND('Mapa final'!$AA$45="Alta",'Mapa final'!$AC$45="Catastrófico"),CONCATENATE("R6C",'Mapa final'!$Q$45),"")</f>
        <v/>
      </c>
      <c r="AI21" s="42" t="str">
        <f>IF(AND('Mapa final'!$AA$46="Alta",'Mapa final'!$AC$46="Catastrófico"),CONCATENATE("R6C",'Mapa final'!$Q$46),"")</f>
        <v/>
      </c>
      <c r="AJ21" s="42" t="str">
        <f>IF(AND('Mapa final'!$AA$47="Alta",'Mapa final'!$AC$47="Catastrófico"),CONCATENATE("R6C",'Mapa final'!$Q$47),"")</f>
        <v/>
      </c>
      <c r="AK21" s="42" t="str">
        <f>IF(AND('Mapa final'!$AA$48="Alta",'Mapa final'!$AC$48="Catastrófico"),CONCATENATE("R6C",'Mapa final'!$Q$48),"")</f>
        <v/>
      </c>
      <c r="AL21" s="42" t="str">
        <f>IF(AND('Mapa final'!$AA$49="Alta",'Mapa final'!$AC$49="Catastrófico"),CONCATENATE("R6C",'Mapa final'!$Q$49),"")</f>
        <v/>
      </c>
      <c r="AM21" s="43" t="str">
        <f>IF(AND('Mapa final'!$AA$50="Alta",'Mapa final'!$AC$50="Catastrófico"),CONCATENATE("R6C",'Mapa final'!$Q$50),"")</f>
        <v/>
      </c>
      <c r="AN21" s="70"/>
      <c r="AO21" s="336"/>
      <c r="AP21" s="337"/>
      <c r="AQ21" s="337"/>
      <c r="AR21" s="337"/>
      <c r="AS21" s="337"/>
      <c r="AT21" s="338"/>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85"/>
      <c r="C22" s="285"/>
      <c r="D22" s="286"/>
      <c r="E22" s="326"/>
      <c r="F22" s="327"/>
      <c r="G22" s="327"/>
      <c r="H22" s="327"/>
      <c r="I22" s="343"/>
      <c r="J22" s="54" t="str">
        <f>IF(AND('Mapa final'!$AA$51="Alta",'Mapa final'!$AC$51="Leve"),CONCATENATE("R7C",'Mapa final'!$Q$51),"")</f>
        <v/>
      </c>
      <c r="K22" s="55" t="str">
        <f>IF(AND('Mapa final'!$AA$52="Alta",'Mapa final'!$AC$52="Leve"),CONCATENATE("R7C",'Mapa final'!$Q$52),"")</f>
        <v/>
      </c>
      <c r="L22" s="55" t="str">
        <f>IF(AND('Mapa final'!$AA$53="Alta",'Mapa final'!$AC$53="Leve"),CONCATENATE("R7C",'Mapa final'!$Q$53),"")</f>
        <v/>
      </c>
      <c r="M22" s="55" t="str">
        <f>IF(AND('Mapa final'!$AA$54="Alta",'Mapa final'!$AC$54="Leve"),CONCATENATE("R7C",'Mapa final'!$Q$54),"")</f>
        <v/>
      </c>
      <c r="N22" s="55" t="str">
        <f>IF(AND('Mapa final'!$AA$55="Alta",'Mapa final'!$AC$55="Leve"),CONCATENATE("R7C",'Mapa final'!$Q$55),"")</f>
        <v/>
      </c>
      <c r="O22" s="56" t="str">
        <f>IF(AND('Mapa final'!$AA$56="Alta",'Mapa final'!$AC$56="Leve"),CONCATENATE("R7C",'Mapa final'!$Q$56),"")</f>
        <v/>
      </c>
      <c r="P22" s="54" t="str">
        <f>IF(AND('Mapa final'!$AA$51="Alta",'Mapa final'!$AC$51="Menor"),CONCATENATE("R7C",'Mapa final'!$Q$51),"")</f>
        <v/>
      </c>
      <c r="Q22" s="55" t="str">
        <f>IF(AND('Mapa final'!$AA$52="Alta",'Mapa final'!$AC$52="Menor"),CONCATENATE("R7C",'Mapa final'!$Q$52),"")</f>
        <v/>
      </c>
      <c r="R22" s="55" t="str">
        <f>IF(AND('Mapa final'!$AA$53="Alta",'Mapa final'!$AC$53="Menor"),CONCATENATE("R7C",'Mapa final'!$Q$53),"")</f>
        <v/>
      </c>
      <c r="S22" s="55" t="str">
        <f>IF(AND('Mapa final'!$AA$54="Alta",'Mapa final'!$AC$54="Menor"),CONCATENATE("R7C",'Mapa final'!$Q$54),"")</f>
        <v/>
      </c>
      <c r="T22" s="55" t="str">
        <f>IF(AND('Mapa final'!$AA$55="Alta",'Mapa final'!$AC$55="Menor"),CONCATENATE("R7C",'Mapa final'!$Q$55),"")</f>
        <v/>
      </c>
      <c r="U22" s="56" t="str">
        <f>IF(AND('Mapa final'!$AA$56="Alta",'Mapa final'!$AC$56="Menor"),CONCATENATE("R7C",'Mapa final'!$Q$56),"")</f>
        <v/>
      </c>
      <c r="V22" s="38" t="str">
        <f>IF(AND('Mapa final'!$AA$51="Alta",'Mapa final'!$AC$51="Moderado"),CONCATENATE("R7C",'Mapa final'!$Q$51),"")</f>
        <v/>
      </c>
      <c r="W22" s="39" t="str">
        <f>IF(AND('Mapa final'!$AA$52="Alta",'Mapa final'!$AC$52="Moderado"),CONCATENATE("R7C",'Mapa final'!$Q$52),"")</f>
        <v/>
      </c>
      <c r="X22" s="44" t="str">
        <f>IF(AND('Mapa final'!$AA$53="Alta",'Mapa final'!$AC$53="Moderado"),CONCATENATE("R7C",'Mapa final'!$Q$53),"")</f>
        <v/>
      </c>
      <c r="Y22" s="44" t="str">
        <f>IF(AND('Mapa final'!$AA$54="Alta",'Mapa final'!$AC$54="Moderado"),CONCATENATE("R7C",'Mapa final'!$Q$54),"")</f>
        <v/>
      </c>
      <c r="Z22" s="44" t="str">
        <f>IF(AND('Mapa final'!$AA$55="Alta",'Mapa final'!$AC$55="Moderado"),CONCATENATE("R7C",'Mapa final'!$Q$55),"")</f>
        <v/>
      </c>
      <c r="AA22" s="40" t="str">
        <f>IF(AND('Mapa final'!$AA$56="Alta",'Mapa final'!$AC$56="Moderado"),CONCATENATE("R7C",'Mapa final'!$Q$56),"")</f>
        <v/>
      </c>
      <c r="AB22" s="38" t="str">
        <f>IF(AND('Mapa final'!$AA$51="Alta",'Mapa final'!$AC$51="Mayor"),CONCATENATE("R7C",'Mapa final'!$Q$51),"")</f>
        <v/>
      </c>
      <c r="AC22" s="39" t="str">
        <f>IF(AND('Mapa final'!$AA$52="Alta",'Mapa final'!$AC$52="Mayor"),CONCATENATE("R7C",'Mapa final'!$Q$52),"")</f>
        <v/>
      </c>
      <c r="AD22" s="44" t="str">
        <f>IF(AND('Mapa final'!$AA$53="Alta",'Mapa final'!$AC$53="Mayor"),CONCATENATE("R7C",'Mapa final'!$Q$53),"")</f>
        <v/>
      </c>
      <c r="AE22" s="44" t="str">
        <f>IF(AND('Mapa final'!$AA$54="Alta",'Mapa final'!$AC$54="Mayor"),CONCATENATE("R7C",'Mapa final'!$Q$54),"")</f>
        <v/>
      </c>
      <c r="AF22" s="44" t="str">
        <f>IF(AND('Mapa final'!$AA$55="Alta",'Mapa final'!$AC$55="Mayor"),CONCATENATE("R7C",'Mapa final'!$Q$55),"")</f>
        <v/>
      </c>
      <c r="AG22" s="40" t="str">
        <f>IF(AND('Mapa final'!$AA$56="Alta",'Mapa final'!$AC$56="Mayor"),CONCATENATE("R7C",'Mapa final'!$Q$56),"")</f>
        <v/>
      </c>
      <c r="AH22" s="41" t="str">
        <f>IF(AND('Mapa final'!$AA$51="Alta",'Mapa final'!$AC$51="Catastrófico"),CONCATENATE("R7C",'Mapa final'!$Q$51),"")</f>
        <v/>
      </c>
      <c r="AI22" s="42" t="str">
        <f>IF(AND('Mapa final'!$AA$52="Alta",'Mapa final'!$AC$52="Catastrófico"),CONCATENATE("R7C",'Mapa final'!$Q$52),"")</f>
        <v/>
      </c>
      <c r="AJ22" s="42" t="str">
        <f>IF(AND('Mapa final'!$AA$53="Alta",'Mapa final'!$AC$53="Catastrófico"),CONCATENATE("R7C",'Mapa final'!$Q$53),"")</f>
        <v/>
      </c>
      <c r="AK22" s="42" t="str">
        <f>IF(AND('Mapa final'!$AA$54="Alta",'Mapa final'!$AC$54="Catastrófico"),CONCATENATE("R7C",'Mapa final'!$Q$54),"")</f>
        <v/>
      </c>
      <c r="AL22" s="42" t="str">
        <f>IF(AND('Mapa final'!$AA$55="Alta",'Mapa final'!$AC$55="Catastrófico"),CONCATENATE("R7C",'Mapa final'!$Q$55),"")</f>
        <v/>
      </c>
      <c r="AM22" s="43" t="str">
        <f>IF(AND('Mapa final'!$AA$56="Alta",'Mapa final'!$AC$56="Catastrófico"),CONCATENATE("R7C",'Mapa final'!$Q$56),"")</f>
        <v/>
      </c>
      <c r="AN22" s="70"/>
      <c r="AO22" s="336"/>
      <c r="AP22" s="337"/>
      <c r="AQ22" s="337"/>
      <c r="AR22" s="337"/>
      <c r="AS22" s="337"/>
      <c r="AT22" s="338"/>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85"/>
      <c r="C23" s="285"/>
      <c r="D23" s="286"/>
      <c r="E23" s="326"/>
      <c r="F23" s="327"/>
      <c r="G23" s="327"/>
      <c r="H23" s="327"/>
      <c r="I23" s="343"/>
      <c r="J23" s="54" t="str">
        <f>IF(AND('Mapa final'!$AA$57="Alta",'Mapa final'!$AC$57="Leve"),CONCATENATE("R8C",'Mapa final'!$Q$57),"")</f>
        <v/>
      </c>
      <c r="K23" s="55" t="str">
        <f>IF(AND('Mapa final'!$AA$58="Alta",'Mapa final'!$AC$58="Leve"),CONCATENATE("R8C",'Mapa final'!$Q$58),"")</f>
        <v/>
      </c>
      <c r="L23" s="55" t="str">
        <f>IF(AND('Mapa final'!$AA$59="Alta",'Mapa final'!$AC$59="Leve"),CONCATENATE("R8C",'Mapa final'!$Q$59),"")</f>
        <v/>
      </c>
      <c r="M23" s="55" t="str">
        <f>IF(AND('Mapa final'!$AA$60="Alta",'Mapa final'!$AC$60="Leve"),CONCATENATE("R8C",'Mapa final'!$Q$60),"")</f>
        <v/>
      </c>
      <c r="N23" s="55" t="str">
        <f>IF(AND('Mapa final'!$AA$61="Alta",'Mapa final'!$AC$61="Leve"),CONCATENATE("R8C",'Mapa final'!$Q$61),"")</f>
        <v/>
      </c>
      <c r="O23" s="56" t="str">
        <f>IF(AND('Mapa final'!$AA$62="Alta",'Mapa final'!$AC$62="Leve"),CONCATENATE("R8C",'Mapa final'!$Q$62),"")</f>
        <v/>
      </c>
      <c r="P23" s="54" t="str">
        <f>IF(AND('Mapa final'!$AA$57="Alta",'Mapa final'!$AC$57="Menor"),CONCATENATE("R8C",'Mapa final'!$Q$57),"")</f>
        <v/>
      </c>
      <c r="Q23" s="55" t="str">
        <f>IF(AND('Mapa final'!$AA$58="Alta",'Mapa final'!$AC$58="Menor"),CONCATENATE("R8C",'Mapa final'!$Q$58),"")</f>
        <v/>
      </c>
      <c r="R23" s="55" t="str">
        <f>IF(AND('Mapa final'!$AA$59="Alta",'Mapa final'!$AC$59="Menor"),CONCATENATE("R8C",'Mapa final'!$Q$59),"")</f>
        <v/>
      </c>
      <c r="S23" s="55" t="str">
        <f>IF(AND('Mapa final'!$AA$60="Alta",'Mapa final'!$AC$60="Menor"),CONCATENATE("R8C",'Mapa final'!$Q$60),"")</f>
        <v/>
      </c>
      <c r="T23" s="55" t="str">
        <f>IF(AND('Mapa final'!$AA$61="Alta",'Mapa final'!$AC$61="Menor"),CONCATENATE("R8C",'Mapa final'!$Q$61),"")</f>
        <v/>
      </c>
      <c r="U23" s="56" t="str">
        <f>IF(AND('Mapa final'!$AA$62="Alta",'Mapa final'!$AC$62="Menor"),CONCATENATE("R8C",'Mapa final'!$Q$62),"")</f>
        <v/>
      </c>
      <c r="V23" s="38" t="str">
        <f>IF(AND('Mapa final'!$AA$57="Alta",'Mapa final'!$AC$57="Moderado"),CONCATENATE("R8C",'Mapa final'!$Q$57),"")</f>
        <v/>
      </c>
      <c r="W23" s="39" t="str">
        <f>IF(AND('Mapa final'!$AA$58="Alta",'Mapa final'!$AC$58="Moderado"),CONCATENATE("R8C",'Mapa final'!$Q$58),"")</f>
        <v/>
      </c>
      <c r="X23" s="44" t="str">
        <f>IF(AND('Mapa final'!$AA$59="Alta",'Mapa final'!$AC$59="Moderado"),CONCATENATE("R8C",'Mapa final'!$Q$59),"")</f>
        <v/>
      </c>
      <c r="Y23" s="44" t="str">
        <f>IF(AND('Mapa final'!$AA$60="Alta",'Mapa final'!$AC$60="Moderado"),CONCATENATE("R8C",'Mapa final'!$Q$60),"")</f>
        <v/>
      </c>
      <c r="Z23" s="44" t="str">
        <f>IF(AND('Mapa final'!$AA$61="Alta",'Mapa final'!$AC$61="Moderado"),CONCATENATE("R8C",'Mapa final'!$Q$61),"")</f>
        <v/>
      </c>
      <c r="AA23" s="40" t="str">
        <f>IF(AND('Mapa final'!$AA$62="Alta",'Mapa final'!$AC$62="Moderado"),CONCATENATE("R8C",'Mapa final'!$Q$62),"")</f>
        <v/>
      </c>
      <c r="AB23" s="38" t="str">
        <f>IF(AND('Mapa final'!$AA$57="Alta",'Mapa final'!$AC$57="Mayor"),CONCATENATE("R8C",'Mapa final'!$Q$57),"")</f>
        <v/>
      </c>
      <c r="AC23" s="39" t="str">
        <f>IF(AND('Mapa final'!$AA$58="Alta",'Mapa final'!$AC$58="Mayor"),CONCATENATE("R8C",'Mapa final'!$Q$58),"")</f>
        <v/>
      </c>
      <c r="AD23" s="44" t="str">
        <f>IF(AND('Mapa final'!$AA$59="Alta",'Mapa final'!$AC$59="Mayor"),CONCATENATE("R8C",'Mapa final'!$Q$59),"")</f>
        <v/>
      </c>
      <c r="AE23" s="44" t="str">
        <f>IF(AND('Mapa final'!$AA$60="Alta",'Mapa final'!$AC$60="Mayor"),CONCATENATE("R8C",'Mapa final'!$Q$60),"")</f>
        <v/>
      </c>
      <c r="AF23" s="44" t="str">
        <f>IF(AND('Mapa final'!$AA$61="Alta",'Mapa final'!$AC$61="Mayor"),CONCATENATE("R8C",'Mapa final'!$Q$61),"")</f>
        <v/>
      </c>
      <c r="AG23" s="40" t="str">
        <f>IF(AND('Mapa final'!$AA$62="Alta",'Mapa final'!$AC$62="Mayor"),CONCATENATE("R8C",'Mapa final'!$Q$62),"")</f>
        <v/>
      </c>
      <c r="AH23" s="41" t="str">
        <f>IF(AND('Mapa final'!$AA$57="Alta",'Mapa final'!$AC$57="Catastrófico"),CONCATENATE("R8C",'Mapa final'!$Q$57),"")</f>
        <v/>
      </c>
      <c r="AI23" s="42" t="str">
        <f>IF(AND('Mapa final'!$AA$58="Alta",'Mapa final'!$AC$58="Catastrófico"),CONCATENATE("R8C",'Mapa final'!$Q$58),"")</f>
        <v/>
      </c>
      <c r="AJ23" s="42" t="str">
        <f>IF(AND('Mapa final'!$AA$59="Alta",'Mapa final'!$AC$59="Catastrófico"),CONCATENATE("R8C",'Mapa final'!$Q$59),"")</f>
        <v/>
      </c>
      <c r="AK23" s="42" t="str">
        <f>IF(AND('Mapa final'!$AA$60="Alta",'Mapa final'!$AC$60="Catastrófico"),CONCATENATE("R8C",'Mapa final'!$Q$60),"")</f>
        <v/>
      </c>
      <c r="AL23" s="42" t="str">
        <f>IF(AND('Mapa final'!$AA$61="Alta",'Mapa final'!$AC$61="Catastrófico"),CONCATENATE("R8C",'Mapa final'!$Q$61),"")</f>
        <v/>
      </c>
      <c r="AM23" s="43" t="str">
        <f>IF(AND('Mapa final'!$AA$62="Alta",'Mapa final'!$AC$62="Catastrófico"),CONCATENATE("R8C",'Mapa final'!$Q$62),"")</f>
        <v/>
      </c>
      <c r="AN23" s="70"/>
      <c r="AO23" s="336"/>
      <c r="AP23" s="337"/>
      <c r="AQ23" s="337"/>
      <c r="AR23" s="337"/>
      <c r="AS23" s="337"/>
      <c r="AT23" s="33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85"/>
      <c r="C24" s="285"/>
      <c r="D24" s="286"/>
      <c r="E24" s="326"/>
      <c r="F24" s="327"/>
      <c r="G24" s="327"/>
      <c r="H24" s="327"/>
      <c r="I24" s="343"/>
      <c r="J24" s="54" t="str">
        <f>IF(AND('Mapa final'!$AA$63="Alta",'Mapa final'!$AC$63="Leve"),CONCATENATE("R9C",'Mapa final'!$Q$63),"")</f>
        <v/>
      </c>
      <c r="K24" s="55" t="str">
        <f>IF(AND('Mapa final'!$AA$64="Alta",'Mapa final'!$AC$64="Leve"),CONCATENATE("R9C",'Mapa final'!$Q$64),"")</f>
        <v/>
      </c>
      <c r="L24" s="55" t="str">
        <f>IF(AND('Mapa final'!$AA$65="Alta",'Mapa final'!$AC$65="Leve"),CONCATENATE("R9C",'Mapa final'!$Q$65),"")</f>
        <v/>
      </c>
      <c r="M24" s="55" t="str">
        <f>IF(AND('Mapa final'!$AA$66="Alta",'Mapa final'!$AC$66="Leve"),CONCATENATE("R9C",'Mapa final'!$Q$66),"")</f>
        <v/>
      </c>
      <c r="N24" s="55" t="str">
        <f>IF(AND('Mapa final'!$AA$67="Alta",'Mapa final'!$AC$67="Leve"),CONCATENATE("R9C",'Mapa final'!$Q$67),"")</f>
        <v/>
      </c>
      <c r="O24" s="56" t="str">
        <f>IF(AND('Mapa final'!$AA$68="Alta",'Mapa final'!$AC$68="Leve"),CONCATENATE("R9C",'Mapa final'!$Q$68),"")</f>
        <v/>
      </c>
      <c r="P24" s="54" t="str">
        <f>IF(AND('Mapa final'!$AA$63="Alta",'Mapa final'!$AC$63="Menor"),CONCATENATE("R9C",'Mapa final'!$Q$63),"")</f>
        <v/>
      </c>
      <c r="Q24" s="55" t="str">
        <f>IF(AND('Mapa final'!$AA$64="Alta",'Mapa final'!$AC$64="Menor"),CONCATENATE("R9C",'Mapa final'!$Q$64),"")</f>
        <v/>
      </c>
      <c r="R24" s="55" t="str">
        <f>IF(AND('Mapa final'!$AA$65="Alta",'Mapa final'!$AC$65="Menor"),CONCATENATE("R9C",'Mapa final'!$Q$65),"")</f>
        <v/>
      </c>
      <c r="S24" s="55" t="str">
        <f>IF(AND('Mapa final'!$AA$66="Alta",'Mapa final'!$AC$66="Menor"),CONCATENATE("R9C",'Mapa final'!$Q$66),"")</f>
        <v/>
      </c>
      <c r="T24" s="55" t="str">
        <f>IF(AND('Mapa final'!$AA$67="Alta",'Mapa final'!$AC$67="Menor"),CONCATENATE("R9C",'Mapa final'!$Q$67),"")</f>
        <v/>
      </c>
      <c r="U24" s="56" t="str">
        <f>IF(AND('Mapa final'!$AA$68="Alta",'Mapa final'!$AC$68="Menor"),CONCATENATE("R9C",'Mapa final'!$Q$68),"")</f>
        <v/>
      </c>
      <c r="V24" s="38" t="str">
        <f>IF(AND('Mapa final'!$AA$63="Alta",'Mapa final'!$AC$63="Moderado"),CONCATENATE("R9C",'Mapa final'!$Q$63),"")</f>
        <v/>
      </c>
      <c r="W24" s="39" t="str">
        <f>IF(AND('Mapa final'!$AA$64="Alta",'Mapa final'!$AC$64="Moderado"),CONCATENATE("R9C",'Mapa final'!$Q$64),"")</f>
        <v/>
      </c>
      <c r="X24" s="44" t="str">
        <f>IF(AND('Mapa final'!$AA$65="Alta",'Mapa final'!$AC$65="Moderado"),CONCATENATE("R9C",'Mapa final'!$Q$65),"")</f>
        <v/>
      </c>
      <c r="Y24" s="44" t="str">
        <f>IF(AND('Mapa final'!$AA$66="Alta",'Mapa final'!$AC$66="Moderado"),CONCATENATE("R9C",'Mapa final'!$Q$66),"")</f>
        <v/>
      </c>
      <c r="Z24" s="44" t="str">
        <f>IF(AND('Mapa final'!$AA$67="Alta",'Mapa final'!$AC$67="Moderado"),CONCATENATE("R9C",'Mapa final'!$Q$67),"")</f>
        <v/>
      </c>
      <c r="AA24" s="40" t="str">
        <f>IF(AND('Mapa final'!$AA$68="Alta",'Mapa final'!$AC$68="Moderado"),CONCATENATE("R9C",'Mapa final'!$Q$68),"")</f>
        <v/>
      </c>
      <c r="AB24" s="38" t="str">
        <f>IF(AND('Mapa final'!$AA$63="Alta",'Mapa final'!$AC$63="Mayor"),CONCATENATE("R9C",'Mapa final'!$Q$63),"")</f>
        <v/>
      </c>
      <c r="AC24" s="39" t="str">
        <f>IF(AND('Mapa final'!$AA$64="Alta",'Mapa final'!$AC$64="Mayor"),CONCATENATE("R9C",'Mapa final'!$Q$64),"")</f>
        <v/>
      </c>
      <c r="AD24" s="44" t="str">
        <f>IF(AND('Mapa final'!$AA$65="Alta",'Mapa final'!$AC$65="Mayor"),CONCATENATE("R9C",'Mapa final'!$Q$65),"")</f>
        <v/>
      </c>
      <c r="AE24" s="44" t="str">
        <f>IF(AND('Mapa final'!$AA$66="Alta",'Mapa final'!$AC$66="Mayor"),CONCATENATE("R9C",'Mapa final'!$Q$66),"")</f>
        <v/>
      </c>
      <c r="AF24" s="44" t="str">
        <f>IF(AND('Mapa final'!$AA$67="Alta",'Mapa final'!$AC$67="Mayor"),CONCATENATE("R9C",'Mapa final'!$Q$67),"")</f>
        <v/>
      </c>
      <c r="AG24" s="40" t="str">
        <f>IF(AND('Mapa final'!$AA$68="Alta",'Mapa final'!$AC$68="Mayor"),CONCATENATE("R9C",'Mapa final'!$Q$68),"")</f>
        <v/>
      </c>
      <c r="AH24" s="41" t="str">
        <f>IF(AND('Mapa final'!$AA$63="Alta",'Mapa final'!$AC$63="Catastrófico"),CONCATENATE("R9C",'Mapa final'!$Q$63),"")</f>
        <v/>
      </c>
      <c r="AI24" s="42" t="str">
        <f>IF(AND('Mapa final'!$AA$64="Alta",'Mapa final'!$AC$64="Catastrófico"),CONCATENATE("R9C",'Mapa final'!$Q$64),"")</f>
        <v/>
      </c>
      <c r="AJ24" s="42" t="str">
        <f>IF(AND('Mapa final'!$AA$65="Alta",'Mapa final'!$AC$65="Catastrófico"),CONCATENATE("R9C",'Mapa final'!$Q$65),"")</f>
        <v/>
      </c>
      <c r="AK24" s="42" t="str">
        <f>IF(AND('Mapa final'!$AA$66="Alta",'Mapa final'!$AC$66="Catastrófico"),CONCATENATE("R9C",'Mapa final'!$Q$66),"")</f>
        <v/>
      </c>
      <c r="AL24" s="42" t="str">
        <f>IF(AND('Mapa final'!$AA$67="Alta",'Mapa final'!$AC$67="Catastrófico"),CONCATENATE("R9C",'Mapa final'!$Q$67),"")</f>
        <v/>
      </c>
      <c r="AM24" s="43" t="str">
        <f>IF(AND('Mapa final'!$AA$68="Alta",'Mapa final'!$AC$68="Catastrófico"),CONCATENATE("R9C",'Mapa final'!$Q$68),"")</f>
        <v/>
      </c>
      <c r="AN24" s="70"/>
      <c r="AO24" s="336"/>
      <c r="AP24" s="337"/>
      <c r="AQ24" s="337"/>
      <c r="AR24" s="337"/>
      <c r="AS24" s="337"/>
      <c r="AT24" s="33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85"/>
      <c r="C25" s="285"/>
      <c r="D25" s="286"/>
      <c r="E25" s="329"/>
      <c r="F25" s="330"/>
      <c r="G25" s="330"/>
      <c r="H25" s="330"/>
      <c r="I25" s="330"/>
      <c r="J25" s="57" t="str">
        <f>IF(AND('Mapa final'!$AA$69="Alta",'Mapa final'!$AC$69="Leve"),CONCATENATE("R10C",'Mapa final'!$Q$69),"")</f>
        <v/>
      </c>
      <c r="K25" s="58" t="str">
        <f>IF(AND('Mapa final'!$AA$70="Alta",'Mapa final'!$AC$70="Leve"),CONCATENATE("R10C",'Mapa final'!$Q$70),"")</f>
        <v/>
      </c>
      <c r="L25" s="58" t="str">
        <f>IF(AND('Mapa final'!$AA$71="Alta",'Mapa final'!$AC$71="Leve"),CONCATENATE("R10C",'Mapa final'!$Q$71),"")</f>
        <v/>
      </c>
      <c r="M25" s="58" t="str">
        <f>IF(AND('Mapa final'!$AA$72="Alta",'Mapa final'!$AC$72="Leve"),CONCATENATE("R10C",'Mapa final'!$Q$72),"")</f>
        <v/>
      </c>
      <c r="N25" s="58" t="str">
        <f>IF(AND('Mapa final'!$AA$73="Alta",'Mapa final'!$AC$73="Leve"),CONCATENATE("R10C",'Mapa final'!$Q$73),"")</f>
        <v/>
      </c>
      <c r="O25" s="59" t="str">
        <f>IF(AND('Mapa final'!$AA$74="Alta",'Mapa final'!$AC$74="Leve"),CONCATENATE("R10C",'Mapa final'!$Q$74),"")</f>
        <v/>
      </c>
      <c r="P25" s="57" t="str">
        <f>IF(AND('Mapa final'!$AA$69="Alta",'Mapa final'!$AC$69="Menor"),CONCATENATE("R10C",'Mapa final'!$Q$69),"")</f>
        <v/>
      </c>
      <c r="Q25" s="58" t="str">
        <f>IF(AND('Mapa final'!$AA$70="Alta",'Mapa final'!$AC$70="Menor"),CONCATENATE("R10C",'Mapa final'!$Q$70),"")</f>
        <v/>
      </c>
      <c r="R25" s="58" t="str">
        <f>IF(AND('Mapa final'!$AA$71="Alta",'Mapa final'!$AC$71="Menor"),CONCATENATE("R10C",'Mapa final'!$Q$71),"")</f>
        <v/>
      </c>
      <c r="S25" s="58" t="str">
        <f>IF(AND('Mapa final'!$AA$72="Alta",'Mapa final'!$AC$72="Menor"),CONCATENATE("R10C",'Mapa final'!$Q$72),"")</f>
        <v/>
      </c>
      <c r="T25" s="58" t="str">
        <f>IF(AND('Mapa final'!$AA$73="Alta",'Mapa final'!$AC$73="Menor"),CONCATENATE("R10C",'Mapa final'!$Q$73),"")</f>
        <v/>
      </c>
      <c r="U25" s="59" t="str">
        <f>IF(AND('Mapa final'!$AA$74="Alta",'Mapa final'!$AC$74="Menor"),CONCATENATE("R10C",'Mapa final'!$Q$74),"")</f>
        <v/>
      </c>
      <c r="V25" s="45" t="str">
        <f>IF(AND('Mapa final'!$AA$69="Alta",'Mapa final'!$AC$69="Moderado"),CONCATENATE("R10C",'Mapa final'!$Q$69),"")</f>
        <v/>
      </c>
      <c r="W25" s="46" t="str">
        <f>IF(AND('Mapa final'!$AA$70="Alta",'Mapa final'!$AC$70="Moderado"),CONCATENATE("R10C",'Mapa final'!$Q$70),"")</f>
        <v/>
      </c>
      <c r="X25" s="46" t="str">
        <f>IF(AND('Mapa final'!$AA$71="Alta",'Mapa final'!$AC$71="Moderado"),CONCATENATE("R10C",'Mapa final'!$Q$71),"")</f>
        <v/>
      </c>
      <c r="Y25" s="46" t="str">
        <f>IF(AND('Mapa final'!$AA$72="Alta",'Mapa final'!$AC$72="Moderado"),CONCATENATE("R10C",'Mapa final'!$Q$72),"")</f>
        <v/>
      </c>
      <c r="Z25" s="46" t="str">
        <f>IF(AND('Mapa final'!$AA$73="Alta",'Mapa final'!$AC$73="Moderado"),CONCATENATE("R10C",'Mapa final'!$Q$73),"")</f>
        <v/>
      </c>
      <c r="AA25" s="47" t="str">
        <f>IF(AND('Mapa final'!$AA$74="Alta",'Mapa final'!$AC$74="Moderado"),CONCATENATE("R10C",'Mapa final'!$Q$74),"")</f>
        <v/>
      </c>
      <c r="AB25" s="45" t="str">
        <f>IF(AND('Mapa final'!$AA$69="Alta",'Mapa final'!$AC$69="Mayor"),CONCATENATE("R10C",'Mapa final'!$Q$69),"")</f>
        <v/>
      </c>
      <c r="AC25" s="46" t="str">
        <f>IF(AND('Mapa final'!$AA$70="Alta",'Mapa final'!$AC$70="Mayor"),CONCATENATE("R10C",'Mapa final'!$Q$70),"")</f>
        <v/>
      </c>
      <c r="AD25" s="46" t="str">
        <f>IF(AND('Mapa final'!$AA$71="Alta",'Mapa final'!$AC$71="Mayor"),CONCATENATE("R10C",'Mapa final'!$Q$71),"")</f>
        <v/>
      </c>
      <c r="AE25" s="46" t="str">
        <f>IF(AND('Mapa final'!$AA$72="Alta",'Mapa final'!$AC$72="Mayor"),CONCATENATE("R10C",'Mapa final'!$Q$72),"")</f>
        <v/>
      </c>
      <c r="AF25" s="46" t="str">
        <f>IF(AND('Mapa final'!$AA$73="Alta",'Mapa final'!$AC$73="Mayor"),CONCATENATE("R10C",'Mapa final'!$Q$73),"")</f>
        <v/>
      </c>
      <c r="AG25" s="47" t="str">
        <f>IF(AND('Mapa final'!$AA$74="Alta",'Mapa final'!$AC$74="Mayor"),CONCATENATE("R10C",'Mapa final'!$Q$74),"")</f>
        <v/>
      </c>
      <c r="AH25" s="48" t="str">
        <f>IF(AND('Mapa final'!$AA$69="Alta",'Mapa final'!$AC$69="Catastrófico"),CONCATENATE("R10C",'Mapa final'!$Q$69),"")</f>
        <v/>
      </c>
      <c r="AI25" s="49" t="str">
        <f>IF(AND('Mapa final'!$AA$70="Alta",'Mapa final'!$AC$70="Catastrófico"),CONCATENATE("R10C",'Mapa final'!$Q$70),"")</f>
        <v/>
      </c>
      <c r="AJ25" s="49" t="str">
        <f>IF(AND('Mapa final'!$AA$71="Alta",'Mapa final'!$AC$71="Catastrófico"),CONCATENATE("R10C",'Mapa final'!$Q$71),"")</f>
        <v/>
      </c>
      <c r="AK25" s="49" t="str">
        <f>IF(AND('Mapa final'!$AA$72="Alta",'Mapa final'!$AC$72="Catastrófico"),CONCATENATE("R10C",'Mapa final'!$Q$72),"")</f>
        <v/>
      </c>
      <c r="AL25" s="49" t="str">
        <f>IF(AND('Mapa final'!$AA$73="Alta",'Mapa final'!$AC$73="Catastrófico"),CONCATENATE("R10C",'Mapa final'!$Q$73),"")</f>
        <v/>
      </c>
      <c r="AM25" s="50" t="str">
        <f>IF(AND('Mapa final'!$AA$74="Alta",'Mapa final'!$AC$74="Catastrófico"),CONCATENATE("R10C",'Mapa final'!$Q$74),"")</f>
        <v/>
      </c>
      <c r="AN25" s="70"/>
      <c r="AO25" s="339"/>
      <c r="AP25" s="340"/>
      <c r="AQ25" s="340"/>
      <c r="AR25" s="340"/>
      <c r="AS25" s="340"/>
      <c r="AT25" s="341"/>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85"/>
      <c r="C26" s="285"/>
      <c r="D26" s="286"/>
      <c r="E26" s="323" t="s">
        <v>113</v>
      </c>
      <c r="F26" s="324"/>
      <c r="G26" s="324"/>
      <c r="H26" s="324"/>
      <c r="I26" s="325"/>
      <c r="J26" s="51" t="str">
        <f>IF(AND('Mapa final'!$AA$9="Media",'Mapa final'!$AC$9="Leve"),CONCATENATE("R1C",'Mapa final'!$Q$9),"")</f>
        <v/>
      </c>
      <c r="K26" s="52" t="str">
        <f>IF(AND('Mapa final'!$AA$10="Media",'Mapa final'!$AC$10="Leve"),CONCATENATE("R1C",'Mapa final'!$Q$10),"")</f>
        <v/>
      </c>
      <c r="L26" s="52" t="str">
        <f>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IF(AND('Mapa final'!$AA$9="Media",'Mapa final'!$AC$9="Menor"),CONCATENATE("R1C",'Mapa final'!$Q$9),"")</f>
        <v/>
      </c>
      <c r="Q26" s="52" t="str">
        <f>IF(AND('Mapa final'!$AA$10="Media",'Mapa final'!$AC$10="Menor"),CONCATENATE("R1C",'Mapa final'!$Q$10),"")</f>
        <v/>
      </c>
      <c r="R26" s="52" t="str">
        <f>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IF(AND('Mapa final'!$AA$9="Media",'Mapa final'!$AC$9="Moderado"),CONCATENATE("R1C",'Mapa final'!$Q$9),"")</f>
        <v/>
      </c>
      <c r="W26" s="52" t="str">
        <f>IF(AND('Mapa final'!$AA$10="Media",'Mapa final'!$AC$10="Moderado"),CONCATENATE("R1C",'Mapa final'!$Q$10),"")</f>
        <v/>
      </c>
      <c r="X26" s="52" t="str">
        <f>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IF(AND('Mapa final'!$AA$9="Media",'Mapa final'!$AC$9="Mayor"),CONCATENATE("R1C",'Mapa final'!$Q$9),"")</f>
        <v/>
      </c>
      <c r="AC26" s="33" t="str">
        <f>IF(AND('Mapa final'!$AA$10="Media",'Mapa final'!$AC$10="Mayor"),CONCATENATE("R1C",'Mapa final'!$Q$10),"")</f>
        <v/>
      </c>
      <c r="AD26" s="33" t="str">
        <f>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IF(AND('Mapa final'!$AA$9="Media",'Mapa final'!$AC$9="Catastrófico"),CONCATENATE("R1C",'Mapa final'!$Q$9),"")</f>
        <v/>
      </c>
      <c r="AI26" s="36" t="str">
        <f>IF(AND('Mapa final'!$AA$10="Media",'Mapa final'!$AC$10="Catastrófico"),CONCATENATE("R1C",'Mapa final'!$Q$10),"")</f>
        <v/>
      </c>
      <c r="AJ26" s="36" t="str">
        <f>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64" t="s">
        <v>77</v>
      </c>
      <c r="AP26" s="365"/>
      <c r="AQ26" s="365"/>
      <c r="AR26" s="365"/>
      <c r="AS26" s="365"/>
      <c r="AT26" s="36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85"/>
      <c r="C27" s="285"/>
      <c r="D27" s="286"/>
      <c r="E27" s="342"/>
      <c r="F27" s="343"/>
      <c r="G27" s="343"/>
      <c r="H27" s="343"/>
      <c r="I27" s="328"/>
      <c r="J27" s="54" t="str">
        <f>IF(AND('Mapa final'!$AA$15="Media",'Mapa final'!$AC$15="Leve"),CONCATENATE("R2C",'Mapa final'!$Q$15),"")</f>
        <v/>
      </c>
      <c r="K27" s="55" t="str">
        <f>IF(AND('Mapa final'!$AA$16="Media",'Mapa final'!$AC$16="Leve"),CONCATENATE("R2C",'Mapa final'!$Q$16),"")</f>
        <v/>
      </c>
      <c r="L27" s="55" t="str">
        <f>IF(AND('Mapa final'!$AA$17="Media",'Mapa final'!$AC$17="Leve"),CONCATENATE("R2C",'Mapa final'!$Q$17),"")</f>
        <v/>
      </c>
      <c r="M27" s="55" t="str">
        <f>IF(AND('Mapa final'!$AA$18="Media",'Mapa final'!$AC$18="Leve"),CONCATENATE("R2C",'Mapa final'!$Q$18),"")</f>
        <v/>
      </c>
      <c r="N27" s="55" t="str">
        <f>IF(AND('Mapa final'!$AA$19="Media",'Mapa final'!$AC$19="Leve"),CONCATENATE("R2C",'Mapa final'!$Q$19),"")</f>
        <v/>
      </c>
      <c r="O27" s="56" t="str">
        <f>IF(AND('Mapa final'!$AA$20="Media",'Mapa final'!$AC$20="Leve"),CONCATENATE("R2C",'Mapa final'!$Q$20),"")</f>
        <v/>
      </c>
      <c r="P27" s="54" t="str">
        <f>IF(AND('Mapa final'!$AA$15="Media",'Mapa final'!$AC$15="Menor"),CONCATENATE("R2C",'Mapa final'!$Q$15),"")</f>
        <v/>
      </c>
      <c r="Q27" s="55" t="str">
        <f>IF(AND('Mapa final'!$AA$16="Media",'Mapa final'!$AC$16="Menor"),CONCATENATE("R2C",'Mapa final'!$Q$16),"")</f>
        <v/>
      </c>
      <c r="R27" s="55" t="str">
        <f>IF(AND('Mapa final'!$AA$17="Media",'Mapa final'!$AC$17="Menor"),CONCATENATE("R2C",'Mapa final'!$Q$17),"")</f>
        <v/>
      </c>
      <c r="S27" s="55" t="str">
        <f>IF(AND('Mapa final'!$AA$18="Media",'Mapa final'!$AC$18="Menor"),CONCATENATE("R2C",'Mapa final'!$Q$18),"")</f>
        <v/>
      </c>
      <c r="T27" s="55" t="str">
        <f>IF(AND('Mapa final'!$AA$19="Media",'Mapa final'!$AC$19="Menor"),CONCATENATE("R2C",'Mapa final'!$Q$19),"")</f>
        <v/>
      </c>
      <c r="U27" s="56" t="str">
        <f>IF(AND('Mapa final'!$AA$20="Media",'Mapa final'!$AC$20="Menor"),CONCATENATE("R2C",'Mapa final'!$Q$20),"")</f>
        <v/>
      </c>
      <c r="V27" s="54" t="str">
        <f>IF(AND('Mapa final'!$AA$15="Media",'Mapa final'!$AC$15="Moderado"),CONCATENATE("R2C",'Mapa final'!$Q$15),"")</f>
        <v/>
      </c>
      <c r="W27" s="55" t="str">
        <f>IF(AND('Mapa final'!$AA$16="Media",'Mapa final'!$AC$16="Moderado"),CONCATENATE("R2C",'Mapa final'!$Q$16),"")</f>
        <v/>
      </c>
      <c r="X27" s="55" t="str">
        <f>IF(AND('Mapa final'!$AA$17="Media",'Mapa final'!$AC$17="Moderado"),CONCATENATE("R2C",'Mapa final'!$Q$17),"")</f>
        <v/>
      </c>
      <c r="Y27" s="55" t="str">
        <f>IF(AND('Mapa final'!$AA$18="Media",'Mapa final'!$AC$18="Moderado"),CONCATENATE("R2C",'Mapa final'!$Q$18),"")</f>
        <v/>
      </c>
      <c r="Z27" s="55" t="str">
        <f>IF(AND('Mapa final'!$AA$19="Media",'Mapa final'!$AC$19="Moderado"),CONCATENATE("R2C",'Mapa final'!$Q$19),"")</f>
        <v/>
      </c>
      <c r="AA27" s="56" t="str">
        <f>IF(AND('Mapa final'!$AA$20="Media",'Mapa final'!$AC$20="Moderado"),CONCATENATE("R2C",'Mapa final'!$Q$20),"")</f>
        <v/>
      </c>
      <c r="AB27" s="38" t="str">
        <f>IF(AND('Mapa final'!$AA$15="Media",'Mapa final'!$AC$15="Mayor"),CONCATENATE("R2C",'Mapa final'!$Q$15),"")</f>
        <v/>
      </c>
      <c r="AC27" s="39" t="str">
        <f>IF(AND('Mapa final'!$AA$16="Media",'Mapa final'!$AC$16="Mayor"),CONCATENATE("R2C",'Mapa final'!$Q$16),"")</f>
        <v/>
      </c>
      <c r="AD27" s="39" t="str">
        <f>IF(AND('Mapa final'!$AA$17="Media",'Mapa final'!$AC$17="Mayor"),CONCATENATE("R2C",'Mapa final'!$Q$17),"")</f>
        <v/>
      </c>
      <c r="AE27" s="39" t="str">
        <f>IF(AND('Mapa final'!$AA$18="Media",'Mapa final'!$AC$18="Mayor"),CONCATENATE("R2C",'Mapa final'!$Q$18),"")</f>
        <v/>
      </c>
      <c r="AF27" s="39" t="str">
        <f>IF(AND('Mapa final'!$AA$19="Media",'Mapa final'!$AC$19="Mayor"),CONCATENATE("R2C",'Mapa final'!$Q$19),"")</f>
        <v/>
      </c>
      <c r="AG27" s="40" t="str">
        <f>IF(AND('Mapa final'!$AA$20="Media",'Mapa final'!$AC$20="Mayor"),CONCATENATE("R2C",'Mapa final'!$Q$20),"")</f>
        <v/>
      </c>
      <c r="AH27" s="41" t="str">
        <f>IF(AND('Mapa final'!$AA$15="Media",'Mapa final'!$AC$15="Catastrófico"),CONCATENATE("R2C",'Mapa final'!$Q$15),"")</f>
        <v/>
      </c>
      <c r="AI27" s="42" t="str">
        <f>IF(AND('Mapa final'!$AA$16="Media",'Mapa final'!$AC$16="Catastrófico"),CONCATENATE("R2C",'Mapa final'!$Q$16),"")</f>
        <v/>
      </c>
      <c r="AJ27" s="42" t="str">
        <f>IF(AND('Mapa final'!$AA$17="Media",'Mapa final'!$AC$17="Catastrófico"),CONCATENATE("R2C",'Mapa final'!$Q$17),"")</f>
        <v/>
      </c>
      <c r="AK27" s="42" t="str">
        <f>IF(AND('Mapa final'!$AA$18="Media",'Mapa final'!$AC$18="Catastrófico"),CONCATENATE("R2C",'Mapa final'!$Q$18),"")</f>
        <v/>
      </c>
      <c r="AL27" s="42" t="str">
        <f>IF(AND('Mapa final'!$AA$19="Media",'Mapa final'!$AC$19="Catastrófico"),CONCATENATE("R2C",'Mapa final'!$Q$19),"")</f>
        <v/>
      </c>
      <c r="AM27" s="43" t="str">
        <f>IF(AND('Mapa final'!$AA$20="Media",'Mapa final'!$AC$20="Catastrófico"),CONCATENATE("R2C",'Mapa final'!$Q$20),"")</f>
        <v/>
      </c>
      <c r="AN27" s="70"/>
      <c r="AO27" s="367"/>
      <c r="AP27" s="368"/>
      <c r="AQ27" s="368"/>
      <c r="AR27" s="368"/>
      <c r="AS27" s="368"/>
      <c r="AT27" s="369"/>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85"/>
      <c r="C28" s="285"/>
      <c r="D28" s="286"/>
      <c r="E28" s="326"/>
      <c r="F28" s="327"/>
      <c r="G28" s="327"/>
      <c r="H28" s="327"/>
      <c r="I28" s="328"/>
      <c r="J28" s="54" t="str">
        <f>IF(AND('Mapa final'!$AA$21="Media",'Mapa final'!$AC$21="Leve"),CONCATENATE("R3C",'Mapa final'!$Q$21),"")</f>
        <v/>
      </c>
      <c r="K28" s="55" t="str">
        <f>IF(AND('Mapa final'!$AA$22="Media",'Mapa final'!$AC$22="Leve"),CONCATENATE("R3C",'Mapa final'!$Q$22),"")</f>
        <v/>
      </c>
      <c r="L28" s="55" t="str">
        <f>IF(AND('Mapa final'!$AA$23="Media",'Mapa final'!$AC$23="Leve"),CONCATENATE("R3C",'Mapa final'!$Q$23),"")</f>
        <v/>
      </c>
      <c r="M28" s="55" t="str">
        <f>IF(AND('Mapa final'!$AA$24="Media",'Mapa final'!$AC$24="Leve"),CONCATENATE("R3C",'Mapa final'!$Q$24),"")</f>
        <v/>
      </c>
      <c r="N28" s="55" t="str">
        <f>IF(AND('Mapa final'!$AA$25="Media",'Mapa final'!$AC$25="Leve"),CONCATENATE("R3C",'Mapa final'!$Q$25),"")</f>
        <v/>
      </c>
      <c r="O28" s="56" t="str">
        <f>IF(AND('Mapa final'!$AA$26="Media",'Mapa final'!$AC$26="Leve"),CONCATENATE("R3C",'Mapa final'!$Q$26),"")</f>
        <v/>
      </c>
      <c r="P28" s="54" t="str">
        <f>IF(AND('Mapa final'!$AA$21="Media",'Mapa final'!$AC$21="Menor"),CONCATENATE("R3C",'Mapa final'!$Q$21),"")</f>
        <v>R3C1</v>
      </c>
      <c r="Q28" s="55" t="str">
        <f>IF(AND('Mapa final'!$AA$22="Media",'Mapa final'!$AC$22="Menor"),CONCATENATE("R3C",'Mapa final'!$Q$22),"")</f>
        <v/>
      </c>
      <c r="R28" s="55" t="str">
        <f>IF(AND('Mapa final'!$AA$23="Media",'Mapa final'!$AC$23="Menor"),CONCATENATE("R3C",'Mapa final'!$Q$23),"")</f>
        <v/>
      </c>
      <c r="S28" s="55" t="str">
        <f>IF(AND('Mapa final'!$AA$24="Media",'Mapa final'!$AC$24="Menor"),CONCATENATE("R3C",'Mapa final'!$Q$24),"")</f>
        <v/>
      </c>
      <c r="T28" s="55" t="str">
        <f>IF(AND('Mapa final'!$AA$25="Media",'Mapa final'!$AC$25="Menor"),CONCATENATE("R3C",'Mapa final'!$Q$25),"")</f>
        <v/>
      </c>
      <c r="U28" s="56" t="str">
        <f>IF(AND('Mapa final'!$AA$26="Media",'Mapa final'!$AC$26="Menor"),CONCATENATE("R3C",'Mapa final'!$Q$26),"")</f>
        <v/>
      </c>
      <c r="V28" s="54" t="str">
        <f>IF(AND('Mapa final'!$AA$21="Media",'Mapa final'!$AC$21="Moderado"),CONCATENATE("R3C",'Mapa final'!$Q$21),"")</f>
        <v/>
      </c>
      <c r="W28" s="55" t="str">
        <f>IF(AND('Mapa final'!$AA$22="Media",'Mapa final'!$AC$22="Moderado"),CONCATENATE("R3C",'Mapa final'!$Q$22),"")</f>
        <v/>
      </c>
      <c r="X28" s="55" t="str">
        <f>IF(AND('Mapa final'!$AA$23="Media",'Mapa final'!$AC$23="Moderado"),CONCATENATE("R3C",'Mapa final'!$Q$23),"")</f>
        <v/>
      </c>
      <c r="Y28" s="55" t="str">
        <f>IF(AND('Mapa final'!$AA$24="Media",'Mapa final'!$AC$24="Moderado"),CONCATENATE("R3C",'Mapa final'!$Q$24),"")</f>
        <v/>
      </c>
      <c r="Z28" s="55" t="str">
        <f>IF(AND('Mapa final'!$AA$25="Media",'Mapa final'!$AC$25="Moderado"),CONCATENATE("R3C",'Mapa final'!$Q$25),"")</f>
        <v/>
      </c>
      <c r="AA28" s="56" t="str">
        <f>IF(AND('Mapa final'!$AA$26="Media",'Mapa final'!$AC$26="Moderado"),CONCATENATE("R3C",'Mapa final'!$Q$26),"")</f>
        <v/>
      </c>
      <c r="AB28" s="38" t="str">
        <f>IF(AND('Mapa final'!$AA$21="Media",'Mapa final'!$AC$21="Mayor"),CONCATENATE("R3C",'Mapa final'!$Q$21),"")</f>
        <v/>
      </c>
      <c r="AC28" s="39" t="str">
        <f>IF(AND('Mapa final'!$AA$22="Media",'Mapa final'!$AC$22="Mayor"),CONCATENATE("R3C",'Mapa final'!$Q$22),"")</f>
        <v/>
      </c>
      <c r="AD28" s="39" t="str">
        <f>IF(AND('Mapa final'!$AA$23="Media",'Mapa final'!$AC$23="Mayor"),CONCATENATE("R3C",'Mapa final'!$Q$23),"")</f>
        <v/>
      </c>
      <c r="AE28" s="39" t="str">
        <f>IF(AND('Mapa final'!$AA$24="Media",'Mapa final'!$AC$24="Mayor"),CONCATENATE("R3C",'Mapa final'!$Q$24),"")</f>
        <v/>
      </c>
      <c r="AF28" s="39" t="str">
        <f>IF(AND('Mapa final'!$AA$25="Media",'Mapa final'!$AC$25="Mayor"),CONCATENATE("R3C",'Mapa final'!$Q$25),"")</f>
        <v/>
      </c>
      <c r="AG28" s="40" t="str">
        <f>IF(AND('Mapa final'!$AA$26="Media",'Mapa final'!$AC$26="Mayor"),CONCATENATE("R3C",'Mapa final'!$Q$26),"")</f>
        <v/>
      </c>
      <c r="AH28" s="41" t="str">
        <f>IF(AND('Mapa final'!$AA$21="Media",'Mapa final'!$AC$21="Catastrófico"),CONCATENATE("R3C",'Mapa final'!$Q$21),"")</f>
        <v/>
      </c>
      <c r="AI28" s="42" t="str">
        <f>IF(AND('Mapa final'!$AA$22="Media",'Mapa final'!$AC$22="Catastrófico"),CONCATENATE("R3C",'Mapa final'!$Q$22),"")</f>
        <v/>
      </c>
      <c r="AJ28" s="42" t="str">
        <f>IF(AND('Mapa final'!$AA$23="Media",'Mapa final'!$AC$23="Catastrófico"),CONCATENATE("R3C",'Mapa final'!$Q$23),"")</f>
        <v/>
      </c>
      <c r="AK28" s="42" t="str">
        <f>IF(AND('Mapa final'!$AA$24="Media",'Mapa final'!$AC$24="Catastrófico"),CONCATENATE("R3C",'Mapa final'!$Q$24),"")</f>
        <v/>
      </c>
      <c r="AL28" s="42" t="str">
        <f>IF(AND('Mapa final'!$AA$25="Media",'Mapa final'!$AC$25="Catastrófico"),CONCATENATE("R3C",'Mapa final'!$Q$25),"")</f>
        <v/>
      </c>
      <c r="AM28" s="43" t="str">
        <f>IF(AND('Mapa final'!$AA$26="Media",'Mapa final'!$AC$26="Catastrófico"),CONCATENATE("R3C",'Mapa final'!$Q$26),"")</f>
        <v/>
      </c>
      <c r="AN28" s="70"/>
      <c r="AO28" s="367"/>
      <c r="AP28" s="368"/>
      <c r="AQ28" s="368"/>
      <c r="AR28" s="368"/>
      <c r="AS28" s="368"/>
      <c r="AT28" s="369"/>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85"/>
      <c r="C29" s="285"/>
      <c r="D29" s="286"/>
      <c r="E29" s="326"/>
      <c r="F29" s="327"/>
      <c r="G29" s="327"/>
      <c r="H29" s="327"/>
      <c r="I29" s="328"/>
      <c r="J29" s="54" t="str">
        <f>IF(AND('Mapa final'!$AA$27="Media",'Mapa final'!$AC$27="Leve"),CONCATENATE("R4C",'Mapa final'!$Q$27),"")</f>
        <v/>
      </c>
      <c r="K29" s="55" t="str">
        <f>IF(AND('Mapa final'!$AA$28="Media",'Mapa final'!$AC$28="Leve"),CONCATENATE("R4C",'Mapa final'!$Q$28),"")</f>
        <v/>
      </c>
      <c r="L29" s="55" t="str">
        <f>IF(AND('Mapa final'!$AA$29="Media",'Mapa final'!$AC$29="Leve"),CONCATENATE("R4C",'Mapa final'!$Q$29),"")</f>
        <v/>
      </c>
      <c r="M29" s="55" t="str">
        <f>IF(AND('Mapa final'!$AA$30="Media",'Mapa final'!$AC$30="Leve"),CONCATENATE("R4C",'Mapa final'!$Q$30),"")</f>
        <v/>
      </c>
      <c r="N29" s="55" t="str">
        <f>IF(AND('Mapa final'!$AA$31="Media",'Mapa final'!$AC$31="Leve"),CONCATENATE("R4C",'Mapa final'!$Q$31),"")</f>
        <v/>
      </c>
      <c r="O29" s="56" t="str">
        <f>IF(AND('Mapa final'!$AA$32="Media",'Mapa final'!$AC$32="Leve"),CONCATENATE("R4C",'Mapa final'!$Q$32),"")</f>
        <v/>
      </c>
      <c r="P29" s="54" t="str">
        <f>IF(AND('Mapa final'!$AA$27="Media",'Mapa final'!$AC$27="Menor"),CONCATENATE("R4C",'Mapa final'!$Q$27),"")</f>
        <v/>
      </c>
      <c r="Q29" s="55" t="str">
        <f>IF(AND('Mapa final'!$AA$28="Media",'Mapa final'!$AC$28="Menor"),CONCATENATE("R4C",'Mapa final'!$Q$28),"")</f>
        <v/>
      </c>
      <c r="R29" s="55" t="str">
        <f>IF(AND('Mapa final'!$AA$29="Media",'Mapa final'!$AC$29="Menor"),CONCATENATE("R4C",'Mapa final'!$Q$29),"")</f>
        <v/>
      </c>
      <c r="S29" s="55" t="str">
        <f>IF(AND('Mapa final'!$AA$30="Media",'Mapa final'!$AC$30="Menor"),CONCATENATE("R4C",'Mapa final'!$Q$30),"")</f>
        <v/>
      </c>
      <c r="T29" s="55" t="str">
        <f>IF(AND('Mapa final'!$AA$31="Media",'Mapa final'!$AC$31="Menor"),CONCATENATE("R4C",'Mapa final'!$Q$31),"")</f>
        <v/>
      </c>
      <c r="U29" s="56" t="str">
        <f>IF(AND('Mapa final'!$AA$32="Media",'Mapa final'!$AC$32="Menor"),CONCATENATE("R4C",'Mapa final'!$Q$32),"")</f>
        <v/>
      </c>
      <c r="V29" s="54" t="str">
        <f>IF(AND('Mapa final'!$AA$27="Media",'Mapa final'!$AC$27="Moderado"),CONCATENATE("R4C",'Mapa final'!$Q$27),"")</f>
        <v/>
      </c>
      <c r="W29" s="55" t="str">
        <f>IF(AND('Mapa final'!$AA$28="Media",'Mapa final'!$AC$28="Moderado"),CONCATENATE("R4C",'Mapa final'!$Q$28),"")</f>
        <v/>
      </c>
      <c r="X29" s="55" t="str">
        <f>IF(AND('Mapa final'!$AA$29="Media",'Mapa final'!$AC$29="Moderado"),CONCATENATE("R4C",'Mapa final'!$Q$29),"")</f>
        <v/>
      </c>
      <c r="Y29" s="55" t="str">
        <f>IF(AND('Mapa final'!$AA$30="Media",'Mapa final'!$AC$30="Moderado"),CONCATENATE("R4C",'Mapa final'!$Q$30),"")</f>
        <v/>
      </c>
      <c r="Z29" s="55" t="str">
        <f>IF(AND('Mapa final'!$AA$31="Media",'Mapa final'!$AC$31="Moderado"),CONCATENATE("R4C",'Mapa final'!$Q$31),"")</f>
        <v/>
      </c>
      <c r="AA29" s="56" t="str">
        <f>IF(AND('Mapa final'!$AA$32="Media",'Mapa final'!$AC$32="Moderado"),CONCATENATE("R4C",'Mapa final'!$Q$32),"")</f>
        <v/>
      </c>
      <c r="AB29" s="38" t="str">
        <f>IF(AND('Mapa final'!$AA$27="Media",'Mapa final'!$AC$27="Mayor"),CONCATENATE("R4C",'Mapa final'!$Q$27),"")</f>
        <v/>
      </c>
      <c r="AC29" s="39" t="str">
        <f>IF(AND('Mapa final'!$AA$28="Media",'Mapa final'!$AC$28="Mayor"),CONCATENATE("R4C",'Mapa final'!$Q$28),"")</f>
        <v/>
      </c>
      <c r="AD29" s="44" t="str">
        <f>IF(AND('Mapa final'!$AA$29="Media",'Mapa final'!$AC$29="Mayor"),CONCATENATE("R4C",'Mapa final'!$Q$29),"")</f>
        <v/>
      </c>
      <c r="AE29" s="44" t="str">
        <f>IF(AND('Mapa final'!$AA$30="Media",'Mapa final'!$AC$30="Mayor"),CONCATENATE("R4C",'Mapa final'!$Q$30),"")</f>
        <v/>
      </c>
      <c r="AF29" s="44" t="str">
        <f>IF(AND('Mapa final'!$AA$31="Media",'Mapa final'!$AC$31="Mayor"),CONCATENATE("R4C",'Mapa final'!$Q$31),"")</f>
        <v/>
      </c>
      <c r="AG29" s="40" t="str">
        <f>IF(AND('Mapa final'!$AA$32="Media",'Mapa final'!$AC$32="Mayor"),CONCATENATE("R4C",'Mapa final'!$Q$32),"")</f>
        <v/>
      </c>
      <c r="AH29" s="41" t="str">
        <f>IF(AND('Mapa final'!$AA$27="Media",'Mapa final'!$AC$27="Catastrófico"),CONCATENATE("R4C",'Mapa final'!$Q$27),"")</f>
        <v/>
      </c>
      <c r="AI29" s="42" t="str">
        <f>IF(AND('Mapa final'!$AA$28="Media",'Mapa final'!$AC$28="Catastrófico"),CONCATENATE("R4C",'Mapa final'!$Q$28),"")</f>
        <v/>
      </c>
      <c r="AJ29" s="42" t="str">
        <f>IF(AND('Mapa final'!$AA$29="Media",'Mapa final'!$AC$29="Catastrófico"),CONCATENATE("R4C",'Mapa final'!$Q$29),"")</f>
        <v/>
      </c>
      <c r="AK29" s="42" t="str">
        <f>IF(AND('Mapa final'!$AA$30="Media",'Mapa final'!$AC$30="Catastrófico"),CONCATENATE("R4C",'Mapa final'!$Q$30),"")</f>
        <v/>
      </c>
      <c r="AL29" s="42" t="str">
        <f>IF(AND('Mapa final'!$AA$31="Media",'Mapa final'!$AC$31="Catastrófico"),CONCATENATE("R4C",'Mapa final'!$Q$31),"")</f>
        <v/>
      </c>
      <c r="AM29" s="43" t="str">
        <f>IF(AND('Mapa final'!$AA$32="Media",'Mapa final'!$AC$32="Catastrófico"),CONCATENATE("R4C",'Mapa final'!$Q$32),"")</f>
        <v/>
      </c>
      <c r="AN29" s="70"/>
      <c r="AO29" s="367"/>
      <c r="AP29" s="368"/>
      <c r="AQ29" s="368"/>
      <c r="AR29" s="368"/>
      <c r="AS29" s="368"/>
      <c r="AT29" s="36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85"/>
      <c r="C30" s="285"/>
      <c r="D30" s="286"/>
      <c r="E30" s="326"/>
      <c r="F30" s="327"/>
      <c r="G30" s="327"/>
      <c r="H30" s="327"/>
      <c r="I30" s="328"/>
      <c r="J30" s="54" t="str">
        <f>IF(AND('Mapa final'!$AA$39="Media",'Mapa final'!$AC$39="Leve"),CONCATENATE("R5C",'Mapa final'!$Q$39),"")</f>
        <v/>
      </c>
      <c r="K30" s="55" t="str">
        <f>IF(AND('Mapa final'!$AA$40="Media",'Mapa final'!$AC$40="Leve"),CONCATENATE("R5C",'Mapa final'!$Q$40),"")</f>
        <v/>
      </c>
      <c r="L30" s="55" t="str">
        <f>IF(AND('Mapa final'!$AA$41="Media",'Mapa final'!$AC$41="Leve"),CONCATENATE("R5C",'Mapa final'!$Q$41),"")</f>
        <v/>
      </c>
      <c r="M30" s="55" t="str">
        <f>IF(AND('Mapa final'!$AA$42="Media",'Mapa final'!$AC$42="Leve"),CONCATENATE("R5C",'Mapa final'!$Q$42),"")</f>
        <v/>
      </c>
      <c r="N30" s="55" t="str">
        <f>IF(AND('Mapa final'!$AA$43="Media",'Mapa final'!$AC$43="Leve"),CONCATENATE("R5C",'Mapa final'!$Q$43),"")</f>
        <v/>
      </c>
      <c r="O30" s="56" t="str">
        <f>IF(AND('Mapa final'!$AA$44="Media",'Mapa final'!$AC$44="Leve"),CONCATENATE("R5C",'Mapa final'!$Q$44),"")</f>
        <v/>
      </c>
      <c r="P30" s="54" t="str">
        <f>IF(AND('Mapa final'!$AA$39="Media",'Mapa final'!$AC$39="Menor"),CONCATENATE("R5C",'Mapa final'!$Q$39),"")</f>
        <v/>
      </c>
      <c r="Q30" s="55" t="str">
        <f>IF(AND('Mapa final'!$AA$40="Media",'Mapa final'!$AC$40="Menor"),CONCATENATE("R5C",'Mapa final'!$Q$40),"")</f>
        <v/>
      </c>
      <c r="R30" s="55" t="str">
        <f>IF(AND('Mapa final'!$AA$41="Media",'Mapa final'!$AC$41="Menor"),CONCATENATE("R5C",'Mapa final'!$Q$41),"")</f>
        <v/>
      </c>
      <c r="S30" s="55" t="str">
        <f>IF(AND('Mapa final'!$AA$42="Media",'Mapa final'!$AC$42="Menor"),CONCATENATE("R5C",'Mapa final'!$Q$42),"")</f>
        <v/>
      </c>
      <c r="T30" s="55" t="str">
        <f>IF(AND('Mapa final'!$AA$43="Media",'Mapa final'!$AC$43="Menor"),CONCATENATE("R5C",'Mapa final'!$Q$43),"")</f>
        <v/>
      </c>
      <c r="U30" s="56" t="str">
        <f>IF(AND('Mapa final'!$AA$44="Media",'Mapa final'!$AC$44="Menor"),CONCATENATE("R5C",'Mapa final'!$Q$44),"")</f>
        <v/>
      </c>
      <c r="V30" s="54" t="str">
        <f>IF(AND('Mapa final'!$AA$39="Media",'Mapa final'!$AC$39="Moderado"),CONCATENATE("R5C",'Mapa final'!$Q$39),"")</f>
        <v/>
      </c>
      <c r="W30" s="55" t="str">
        <f>IF(AND('Mapa final'!$AA$40="Media",'Mapa final'!$AC$40="Moderado"),CONCATENATE("R5C",'Mapa final'!$Q$40),"")</f>
        <v/>
      </c>
      <c r="X30" s="55" t="str">
        <f>IF(AND('Mapa final'!$AA$41="Media",'Mapa final'!$AC$41="Moderado"),CONCATENATE("R5C",'Mapa final'!$Q$41),"")</f>
        <v/>
      </c>
      <c r="Y30" s="55" t="str">
        <f>IF(AND('Mapa final'!$AA$42="Media",'Mapa final'!$AC$42="Moderado"),CONCATENATE("R5C",'Mapa final'!$Q$42),"")</f>
        <v/>
      </c>
      <c r="Z30" s="55" t="str">
        <f>IF(AND('Mapa final'!$AA$43="Media",'Mapa final'!$AC$43="Moderado"),CONCATENATE("R5C",'Mapa final'!$Q$43),"")</f>
        <v/>
      </c>
      <c r="AA30" s="56" t="str">
        <f>IF(AND('Mapa final'!$AA$44="Media",'Mapa final'!$AC$44="Moderado"),CONCATENATE("R5C",'Mapa final'!$Q$44),"")</f>
        <v/>
      </c>
      <c r="AB30" s="38" t="str">
        <f>IF(AND('Mapa final'!$AA$39="Media",'Mapa final'!$AC$39="Mayor"),CONCATENATE("R5C",'Mapa final'!$Q$39),"")</f>
        <v/>
      </c>
      <c r="AC30" s="39" t="str">
        <f>IF(AND('Mapa final'!$AA$40="Media",'Mapa final'!$AC$40="Mayor"),CONCATENATE("R5C",'Mapa final'!$Q$40),"")</f>
        <v/>
      </c>
      <c r="AD30" s="44" t="str">
        <f>IF(AND('Mapa final'!$AA$41="Media",'Mapa final'!$AC$41="Mayor"),CONCATENATE("R5C",'Mapa final'!$Q$41),"")</f>
        <v/>
      </c>
      <c r="AE30" s="44" t="str">
        <f>IF(AND('Mapa final'!$AA$42="Media",'Mapa final'!$AC$42="Mayor"),CONCATENATE("R5C",'Mapa final'!$Q$42),"")</f>
        <v/>
      </c>
      <c r="AF30" s="44" t="str">
        <f>IF(AND('Mapa final'!$AA$43="Media",'Mapa final'!$AC$43="Mayor"),CONCATENATE("R5C",'Mapa final'!$Q$43),"")</f>
        <v/>
      </c>
      <c r="AG30" s="40" t="str">
        <f>IF(AND('Mapa final'!$AA$44="Media",'Mapa final'!$AC$44="Mayor"),CONCATENATE("R5C",'Mapa final'!$Q$44),"")</f>
        <v/>
      </c>
      <c r="AH30" s="41" t="str">
        <f>IF(AND('Mapa final'!$AA$39="Media",'Mapa final'!$AC$39="Catastrófico"),CONCATENATE("R5C",'Mapa final'!$Q$39),"")</f>
        <v/>
      </c>
      <c r="AI30" s="42" t="str">
        <f>IF(AND('Mapa final'!$AA$40="Media",'Mapa final'!$AC$40="Catastrófico"),CONCATENATE("R5C",'Mapa final'!$Q$40),"")</f>
        <v/>
      </c>
      <c r="AJ30" s="42" t="str">
        <f>IF(AND('Mapa final'!$AA$41="Media",'Mapa final'!$AC$41="Catastrófico"),CONCATENATE("R5C",'Mapa final'!$Q$41),"")</f>
        <v/>
      </c>
      <c r="AK30" s="42" t="str">
        <f>IF(AND('Mapa final'!$AA$42="Media",'Mapa final'!$AC$42="Catastrófico"),CONCATENATE("R5C",'Mapa final'!$Q$42),"")</f>
        <v/>
      </c>
      <c r="AL30" s="42" t="str">
        <f>IF(AND('Mapa final'!$AA$43="Media",'Mapa final'!$AC$43="Catastrófico"),CONCATENATE("R5C",'Mapa final'!$Q$43),"")</f>
        <v/>
      </c>
      <c r="AM30" s="43" t="str">
        <f>IF(AND('Mapa final'!$AA$44="Media",'Mapa final'!$AC$44="Catastrófico"),CONCATENATE("R5C",'Mapa final'!$Q$44),"")</f>
        <v/>
      </c>
      <c r="AN30" s="70"/>
      <c r="AO30" s="367"/>
      <c r="AP30" s="368"/>
      <c r="AQ30" s="368"/>
      <c r="AR30" s="368"/>
      <c r="AS30" s="368"/>
      <c r="AT30" s="369"/>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85"/>
      <c r="C31" s="285"/>
      <c r="D31" s="286"/>
      <c r="E31" s="326"/>
      <c r="F31" s="327"/>
      <c r="G31" s="327"/>
      <c r="H31" s="327"/>
      <c r="I31" s="328"/>
      <c r="J31" s="54" t="str">
        <f>IF(AND('Mapa final'!$AA$45="Media",'Mapa final'!$AC$45="Leve"),CONCATENATE("R6C",'Mapa final'!$Q$45),"")</f>
        <v/>
      </c>
      <c r="K31" s="55" t="str">
        <f>IF(AND('Mapa final'!$AA$46="Media",'Mapa final'!$AC$46="Leve"),CONCATENATE("R6C",'Mapa final'!$Q$46),"")</f>
        <v/>
      </c>
      <c r="L31" s="55" t="str">
        <f>IF(AND('Mapa final'!$AA$47="Media",'Mapa final'!$AC$47="Leve"),CONCATENATE("R6C",'Mapa final'!$Q$47),"")</f>
        <v/>
      </c>
      <c r="M31" s="55" t="str">
        <f>IF(AND('Mapa final'!$AA$48="Media",'Mapa final'!$AC$48="Leve"),CONCATENATE("R6C",'Mapa final'!$Q$48),"")</f>
        <v/>
      </c>
      <c r="N31" s="55" t="str">
        <f>IF(AND('Mapa final'!$AA$49="Media",'Mapa final'!$AC$49="Leve"),CONCATENATE("R6C",'Mapa final'!$Q$49),"")</f>
        <v/>
      </c>
      <c r="O31" s="56" t="str">
        <f>IF(AND('Mapa final'!$AA$50="Media",'Mapa final'!$AC$50="Leve"),CONCATENATE("R6C",'Mapa final'!$Q$50),"")</f>
        <v/>
      </c>
      <c r="P31" s="54" t="str">
        <f>IF(AND('Mapa final'!$AA$45="Media",'Mapa final'!$AC$45="Menor"),CONCATENATE("R6C",'Mapa final'!$Q$45),"")</f>
        <v/>
      </c>
      <c r="Q31" s="55" t="str">
        <f>IF(AND('Mapa final'!$AA$46="Media",'Mapa final'!$AC$46="Menor"),CONCATENATE("R6C",'Mapa final'!$Q$46),"")</f>
        <v/>
      </c>
      <c r="R31" s="55" t="str">
        <f>IF(AND('Mapa final'!$AA$47="Media",'Mapa final'!$AC$47="Menor"),CONCATENATE("R6C",'Mapa final'!$Q$47),"")</f>
        <v/>
      </c>
      <c r="S31" s="55" t="str">
        <f>IF(AND('Mapa final'!$AA$48="Media",'Mapa final'!$AC$48="Menor"),CONCATENATE("R6C",'Mapa final'!$Q$48),"")</f>
        <v/>
      </c>
      <c r="T31" s="55" t="str">
        <f>IF(AND('Mapa final'!$AA$49="Media",'Mapa final'!$AC$49="Menor"),CONCATENATE("R6C",'Mapa final'!$Q$49),"")</f>
        <v/>
      </c>
      <c r="U31" s="56" t="str">
        <f>IF(AND('Mapa final'!$AA$50="Media",'Mapa final'!$AC$50="Menor"),CONCATENATE("R6C",'Mapa final'!$Q$50),"")</f>
        <v/>
      </c>
      <c r="V31" s="54" t="str">
        <f>IF(AND('Mapa final'!$AA$45="Media",'Mapa final'!$AC$45="Moderado"),CONCATENATE("R6C",'Mapa final'!$Q$45),"")</f>
        <v/>
      </c>
      <c r="W31" s="55" t="str">
        <f>IF(AND('Mapa final'!$AA$46="Media",'Mapa final'!$AC$46="Moderado"),CONCATENATE("R6C",'Mapa final'!$Q$46),"")</f>
        <v/>
      </c>
      <c r="X31" s="55" t="str">
        <f>IF(AND('Mapa final'!$AA$47="Media",'Mapa final'!$AC$47="Moderado"),CONCATENATE("R6C",'Mapa final'!$Q$47),"")</f>
        <v/>
      </c>
      <c r="Y31" s="55" t="str">
        <f>IF(AND('Mapa final'!$AA$48="Media",'Mapa final'!$AC$48="Moderado"),CONCATENATE("R6C",'Mapa final'!$Q$48),"")</f>
        <v/>
      </c>
      <c r="Z31" s="55" t="str">
        <f>IF(AND('Mapa final'!$AA$49="Media",'Mapa final'!$AC$49="Moderado"),CONCATENATE("R6C",'Mapa final'!$Q$49),"")</f>
        <v/>
      </c>
      <c r="AA31" s="56" t="str">
        <f>IF(AND('Mapa final'!$AA$50="Media",'Mapa final'!$AC$50="Moderado"),CONCATENATE("R6C",'Mapa final'!$Q$50),"")</f>
        <v/>
      </c>
      <c r="AB31" s="38" t="str">
        <f>IF(AND('Mapa final'!$AA$45="Media",'Mapa final'!$AC$45="Mayor"),CONCATENATE("R6C",'Mapa final'!$Q$45),"")</f>
        <v/>
      </c>
      <c r="AC31" s="39" t="str">
        <f>IF(AND('Mapa final'!$AA$46="Media",'Mapa final'!$AC$46="Mayor"),CONCATENATE("R6C",'Mapa final'!$Q$46),"")</f>
        <v/>
      </c>
      <c r="AD31" s="44" t="str">
        <f>IF(AND('Mapa final'!$AA$47="Media",'Mapa final'!$AC$47="Mayor"),CONCATENATE("R6C",'Mapa final'!$Q$47),"")</f>
        <v/>
      </c>
      <c r="AE31" s="44" t="str">
        <f>IF(AND('Mapa final'!$AA$48="Media",'Mapa final'!$AC$48="Mayor"),CONCATENATE("R6C",'Mapa final'!$Q$48),"")</f>
        <v/>
      </c>
      <c r="AF31" s="44" t="str">
        <f>IF(AND('Mapa final'!$AA$49="Media",'Mapa final'!$AC$49="Mayor"),CONCATENATE("R6C",'Mapa final'!$Q$49),"")</f>
        <v/>
      </c>
      <c r="AG31" s="40" t="str">
        <f>IF(AND('Mapa final'!$AA$50="Media",'Mapa final'!$AC$50="Mayor"),CONCATENATE("R6C",'Mapa final'!$Q$50),"")</f>
        <v/>
      </c>
      <c r="AH31" s="41" t="str">
        <f>IF(AND('Mapa final'!$AA$45="Media",'Mapa final'!$AC$45="Catastrófico"),CONCATENATE("R6C",'Mapa final'!$Q$45),"")</f>
        <v/>
      </c>
      <c r="AI31" s="42" t="str">
        <f>IF(AND('Mapa final'!$AA$46="Media",'Mapa final'!$AC$46="Catastrófico"),CONCATENATE("R6C",'Mapa final'!$Q$46),"")</f>
        <v/>
      </c>
      <c r="AJ31" s="42" t="str">
        <f>IF(AND('Mapa final'!$AA$47="Media",'Mapa final'!$AC$47="Catastrófico"),CONCATENATE("R6C",'Mapa final'!$Q$47),"")</f>
        <v/>
      </c>
      <c r="AK31" s="42" t="str">
        <f>IF(AND('Mapa final'!$AA$48="Media",'Mapa final'!$AC$48="Catastrófico"),CONCATENATE("R6C",'Mapa final'!$Q$48),"")</f>
        <v/>
      </c>
      <c r="AL31" s="42" t="str">
        <f>IF(AND('Mapa final'!$AA$49="Media",'Mapa final'!$AC$49="Catastrófico"),CONCATENATE("R6C",'Mapa final'!$Q$49),"")</f>
        <v/>
      </c>
      <c r="AM31" s="43" t="str">
        <f>IF(AND('Mapa final'!$AA$50="Media",'Mapa final'!$AC$50="Catastrófico"),CONCATENATE("R6C",'Mapa final'!$Q$50),"")</f>
        <v/>
      </c>
      <c r="AN31" s="70"/>
      <c r="AO31" s="367"/>
      <c r="AP31" s="368"/>
      <c r="AQ31" s="368"/>
      <c r="AR31" s="368"/>
      <c r="AS31" s="368"/>
      <c r="AT31" s="369"/>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85"/>
      <c r="C32" s="285"/>
      <c r="D32" s="286"/>
      <c r="E32" s="326"/>
      <c r="F32" s="327"/>
      <c r="G32" s="327"/>
      <c r="H32" s="327"/>
      <c r="I32" s="328"/>
      <c r="J32" s="54" t="str">
        <f>IF(AND('Mapa final'!$AA$51="Media",'Mapa final'!$AC$51="Leve"),CONCATENATE("R7C",'Mapa final'!$Q$51),"")</f>
        <v/>
      </c>
      <c r="K32" s="55" t="str">
        <f>IF(AND('Mapa final'!$AA$52="Media",'Mapa final'!$AC$52="Leve"),CONCATENATE("R7C",'Mapa final'!$Q$52),"")</f>
        <v/>
      </c>
      <c r="L32" s="55" t="str">
        <f>IF(AND('Mapa final'!$AA$53="Media",'Mapa final'!$AC$53="Leve"),CONCATENATE("R7C",'Mapa final'!$Q$53),"")</f>
        <v/>
      </c>
      <c r="M32" s="55" t="str">
        <f>IF(AND('Mapa final'!$AA$54="Media",'Mapa final'!$AC$54="Leve"),CONCATENATE("R7C",'Mapa final'!$Q$54),"")</f>
        <v/>
      </c>
      <c r="N32" s="55" t="str">
        <f>IF(AND('Mapa final'!$AA$55="Media",'Mapa final'!$AC$55="Leve"),CONCATENATE("R7C",'Mapa final'!$Q$55),"")</f>
        <v/>
      </c>
      <c r="O32" s="56" t="str">
        <f>IF(AND('Mapa final'!$AA$56="Media",'Mapa final'!$AC$56="Leve"),CONCATENATE("R7C",'Mapa final'!$Q$56),"")</f>
        <v/>
      </c>
      <c r="P32" s="54" t="str">
        <f>IF(AND('Mapa final'!$AA$51="Media",'Mapa final'!$AC$51="Menor"),CONCATENATE("R7C",'Mapa final'!$Q$51),"")</f>
        <v/>
      </c>
      <c r="Q32" s="55" t="str">
        <f>IF(AND('Mapa final'!$AA$52="Media",'Mapa final'!$AC$52="Menor"),CONCATENATE("R7C",'Mapa final'!$Q$52),"")</f>
        <v/>
      </c>
      <c r="R32" s="55" t="str">
        <f>IF(AND('Mapa final'!$AA$53="Media",'Mapa final'!$AC$53="Menor"),CONCATENATE("R7C",'Mapa final'!$Q$53),"")</f>
        <v/>
      </c>
      <c r="S32" s="55" t="str">
        <f>IF(AND('Mapa final'!$AA$54="Media",'Mapa final'!$AC$54="Menor"),CONCATENATE("R7C",'Mapa final'!$Q$54),"")</f>
        <v/>
      </c>
      <c r="T32" s="55" t="str">
        <f>IF(AND('Mapa final'!$AA$55="Media",'Mapa final'!$AC$55="Menor"),CONCATENATE("R7C",'Mapa final'!$Q$55),"")</f>
        <v/>
      </c>
      <c r="U32" s="56" t="str">
        <f>IF(AND('Mapa final'!$AA$56="Media",'Mapa final'!$AC$56="Menor"),CONCATENATE("R7C",'Mapa final'!$Q$56),"")</f>
        <v/>
      </c>
      <c r="V32" s="54" t="str">
        <f>IF(AND('Mapa final'!$AA$51="Media",'Mapa final'!$AC$51="Moderado"),CONCATENATE("R7C",'Mapa final'!$Q$51),"")</f>
        <v/>
      </c>
      <c r="W32" s="55" t="str">
        <f>IF(AND('Mapa final'!$AA$52="Media",'Mapa final'!$AC$52="Moderado"),CONCATENATE("R7C",'Mapa final'!$Q$52),"")</f>
        <v/>
      </c>
      <c r="X32" s="55" t="str">
        <f>IF(AND('Mapa final'!$AA$53="Media",'Mapa final'!$AC$53="Moderado"),CONCATENATE("R7C",'Mapa final'!$Q$53),"")</f>
        <v/>
      </c>
      <c r="Y32" s="55" t="str">
        <f>IF(AND('Mapa final'!$AA$54="Media",'Mapa final'!$AC$54="Moderado"),CONCATENATE("R7C",'Mapa final'!$Q$54),"")</f>
        <v/>
      </c>
      <c r="Z32" s="55" t="str">
        <f>IF(AND('Mapa final'!$AA$55="Media",'Mapa final'!$AC$55="Moderado"),CONCATENATE("R7C",'Mapa final'!$Q$55),"")</f>
        <v/>
      </c>
      <c r="AA32" s="56" t="str">
        <f>IF(AND('Mapa final'!$AA$56="Media",'Mapa final'!$AC$56="Moderado"),CONCATENATE("R7C",'Mapa final'!$Q$56),"")</f>
        <v/>
      </c>
      <c r="AB32" s="38" t="str">
        <f>IF(AND('Mapa final'!$AA$51="Media",'Mapa final'!$AC$51="Mayor"),CONCATENATE("R7C",'Mapa final'!$Q$51),"")</f>
        <v/>
      </c>
      <c r="AC32" s="39" t="str">
        <f>IF(AND('Mapa final'!$AA$52="Media",'Mapa final'!$AC$52="Mayor"),CONCATENATE("R7C",'Mapa final'!$Q$52),"")</f>
        <v/>
      </c>
      <c r="AD32" s="44" t="str">
        <f>IF(AND('Mapa final'!$AA$53="Media",'Mapa final'!$AC$53="Mayor"),CONCATENATE("R7C",'Mapa final'!$Q$53),"")</f>
        <v/>
      </c>
      <c r="AE32" s="44" t="str">
        <f>IF(AND('Mapa final'!$AA$54="Media",'Mapa final'!$AC$54="Mayor"),CONCATENATE("R7C",'Mapa final'!$Q$54),"")</f>
        <v/>
      </c>
      <c r="AF32" s="44" t="str">
        <f>IF(AND('Mapa final'!$AA$55="Media",'Mapa final'!$AC$55="Mayor"),CONCATENATE("R7C",'Mapa final'!$Q$55),"")</f>
        <v/>
      </c>
      <c r="AG32" s="40" t="str">
        <f>IF(AND('Mapa final'!$AA$56="Media",'Mapa final'!$AC$56="Mayor"),CONCATENATE("R7C",'Mapa final'!$Q$56),"")</f>
        <v/>
      </c>
      <c r="AH32" s="41" t="str">
        <f>IF(AND('Mapa final'!$AA$51="Media",'Mapa final'!$AC$51="Catastrófico"),CONCATENATE("R7C",'Mapa final'!$Q$51),"")</f>
        <v/>
      </c>
      <c r="AI32" s="42" t="str">
        <f>IF(AND('Mapa final'!$AA$52="Media",'Mapa final'!$AC$52="Catastrófico"),CONCATENATE("R7C",'Mapa final'!$Q$52),"")</f>
        <v/>
      </c>
      <c r="AJ32" s="42" t="str">
        <f>IF(AND('Mapa final'!$AA$53="Media",'Mapa final'!$AC$53="Catastrófico"),CONCATENATE("R7C",'Mapa final'!$Q$53),"")</f>
        <v/>
      </c>
      <c r="AK32" s="42" t="str">
        <f>IF(AND('Mapa final'!$AA$54="Media",'Mapa final'!$AC$54="Catastrófico"),CONCATENATE("R7C",'Mapa final'!$Q$54),"")</f>
        <v/>
      </c>
      <c r="AL32" s="42" t="str">
        <f>IF(AND('Mapa final'!$AA$55="Media",'Mapa final'!$AC$55="Catastrófico"),CONCATENATE("R7C",'Mapa final'!$Q$55),"")</f>
        <v/>
      </c>
      <c r="AM32" s="43" t="str">
        <f>IF(AND('Mapa final'!$AA$56="Media",'Mapa final'!$AC$56="Catastrófico"),CONCATENATE("R7C",'Mapa final'!$Q$56),"")</f>
        <v/>
      </c>
      <c r="AN32" s="70"/>
      <c r="AO32" s="367"/>
      <c r="AP32" s="368"/>
      <c r="AQ32" s="368"/>
      <c r="AR32" s="368"/>
      <c r="AS32" s="368"/>
      <c r="AT32" s="369"/>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85"/>
      <c r="C33" s="285"/>
      <c r="D33" s="286"/>
      <c r="E33" s="326"/>
      <c r="F33" s="327"/>
      <c r="G33" s="327"/>
      <c r="H33" s="327"/>
      <c r="I33" s="328"/>
      <c r="J33" s="54" t="str">
        <f>IF(AND('Mapa final'!$AA$57="Media",'Mapa final'!$AC$57="Leve"),CONCATENATE("R8C",'Mapa final'!$Q$57),"")</f>
        <v/>
      </c>
      <c r="K33" s="55" t="str">
        <f>IF(AND('Mapa final'!$AA$58="Media",'Mapa final'!$AC$58="Leve"),CONCATENATE("R8C",'Mapa final'!$Q$58),"")</f>
        <v/>
      </c>
      <c r="L33" s="55" t="str">
        <f>IF(AND('Mapa final'!$AA$59="Media",'Mapa final'!$AC$59="Leve"),CONCATENATE("R8C",'Mapa final'!$Q$59),"")</f>
        <v/>
      </c>
      <c r="M33" s="55" t="str">
        <f>IF(AND('Mapa final'!$AA$60="Media",'Mapa final'!$AC$60="Leve"),CONCATENATE("R8C",'Mapa final'!$Q$60),"")</f>
        <v/>
      </c>
      <c r="N33" s="55" t="str">
        <f>IF(AND('Mapa final'!$AA$61="Media",'Mapa final'!$AC$61="Leve"),CONCATENATE("R8C",'Mapa final'!$Q$61),"")</f>
        <v/>
      </c>
      <c r="O33" s="56" t="str">
        <f>IF(AND('Mapa final'!$AA$62="Media",'Mapa final'!$AC$62="Leve"),CONCATENATE("R8C",'Mapa final'!$Q$62),"")</f>
        <v/>
      </c>
      <c r="P33" s="54" t="str">
        <f>IF(AND('Mapa final'!$AA$57="Media",'Mapa final'!$AC$57="Menor"),CONCATENATE("R8C",'Mapa final'!$Q$57),"")</f>
        <v/>
      </c>
      <c r="Q33" s="55" t="str">
        <f>IF(AND('Mapa final'!$AA$58="Media",'Mapa final'!$AC$58="Menor"),CONCATENATE("R8C",'Mapa final'!$Q$58),"")</f>
        <v/>
      </c>
      <c r="R33" s="55" t="str">
        <f>IF(AND('Mapa final'!$AA$59="Media",'Mapa final'!$AC$59="Menor"),CONCATENATE("R8C",'Mapa final'!$Q$59),"")</f>
        <v/>
      </c>
      <c r="S33" s="55" t="str">
        <f>IF(AND('Mapa final'!$AA$60="Media",'Mapa final'!$AC$60="Menor"),CONCATENATE("R8C",'Mapa final'!$Q$60),"")</f>
        <v/>
      </c>
      <c r="T33" s="55" t="str">
        <f>IF(AND('Mapa final'!$AA$61="Media",'Mapa final'!$AC$61="Menor"),CONCATENATE("R8C",'Mapa final'!$Q$61),"")</f>
        <v/>
      </c>
      <c r="U33" s="56" t="str">
        <f>IF(AND('Mapa final'!$AA$62="Media",'Mapa final'!$AC$62="Menor"),CONCATENATE("R8C",'Mapa final'!$Q$62),"")</f>
        <v/>
      </c>
      <c r="V33" s="54" t="str">
        <f>IF(AND('Mapa final'!$AA$57="Media",'Mapa final'!$AC$57="Moderado"),CONCATENATE("R8C",'Mapa final'!$Q$57),"")</f>
        <v/>
      </c>
      <c r="W33" s="55" t="str">
        <f>IF(AND('Mapa final'!$AA$58="Media",'Mapa final'!$AC$58="Moderado"),CONCATENATE("R8C",'Mapa final'!$Q$58),"")</f>
        <v/>
      </c>
      <c r="X33" s="55" t="str">
        <f>IF(AND('Mapa final'!$AA$59="Media",'Mapa final'!$AC$59="Moderado"),CONCATENATE("R8C",'Mapa final'!$Q$59),"")</f>
        <v/>
      </c>
      <c r="Y33" s="55" t="str">
        <f>IF(AND('Mapa final'!$AA$60="Media",'Mapa final'!$AC$60="Moderado"),CONCATENATE("R8C",'Mapa final'!$Q$60),"")</f>
        <v/>
      </c>
      <c r="Z33" s="55" t="str">
        <f>IF(AND('Mapa final'!$AA$61="Media",'Mapa final'!$AC$61="Moderado"),CONCATENATE("R8C",'Mapa final'!$Q$61),"")</f>
        <v/>
      </c>
      <c r="AA33" s="56" t="str">
        <f>IF(AND('Mapa final'!$AA$62="Media",'Mapa final'!$AC$62="Moderado"),CONCATENATE("R8C",'Mapa final'!$Q$62),"")</f>
        <v/>
      </c>
      <c r="AB33" s="38" t="str">
        <f>IF(AND('Mapa final'!$AA$57="Media",'Mapa final'!$AC$57="Mayor"),CONCATENATE("R8C",'Mapa final'!$Q$57),"")</f>
        <v/>
      </c>
      <c r="AC33" s="39" t="str">
        <f>IF(AND('Mapa final'!$AA$58="Media",'Mapa final'!$AC$58="Mayor"),CONCATENATE("R8C",'Mapa final'!$Q$58),"")</f>
        <v/>
      </c>
      <c r="AD33" s="44" t="str">
        <f>IF(AND('Mapa final'!$AA$59="Media",'Mapa final'!$AC$59="Mayor"),CONCATENATE("R8C",'Mapa final'!$Q$59),"")</f>
        <v/>
      </c>
      <c r="AE33" s="44" t="str">
        <f>IF(AND('Mapa final'!$AA$60="Media",'Mapa final'!$AC$60="Mayor"),CONCATENATE("R8C",'Mapa final'!$Q$60),"")</f>
        <v/>
      </c>
      <c r="AF33" s="44" t="str">
        <f>IF(AND('Mapa final'!$AA$61="Media",'Mapa final'!$AC$61="Mayor"),CONCATENATE("R8C",'Mapa final'!$Q$61),"")</f>
        <v/>
      </c>
      <c r="AG33" s="40" t="str">
        <f>IF(AND('Mapa final'!$AA$62="Media",'Mapa final'!$AC$62="Mayor"),CONCATENATE("R8C",'Mapa final'!$Q$62),"")</f>
        <v/>
      </c>
      <c r="AH33" s="41" t="str">
        <f>IF(AND('Mapa final'!$AA$57="Media",'Mapa final'!$AC$57="Catastrófico"),CONCATENATE("R8C",'Mapa final'!$Q$57),"")</f>
        <v/>
      </c>
      <c r="AI33" s="42" t="str">
        <f>IF(AND('Mapa final'!$AA$58="Media",'Mapa final'!$AC$58="Catastrófico"),CONCATENATE("R8C",'Mapa final'!$Q$58),"")</f>
        <v/>
      </c>
      <c r="AJ33" s="42" t="str">
        <f>IF(AND('Mapa final'!$AA$59="Media",'Mapa final'!$AC$59="Catastrófico"),CONCATENATE("R8C",'Mapa final'!$Q$59),"")</f>
        <v/>
      </c>
      <c r="AK33" s="42" t="str">
        <f>IF(AND('Mapa final'!$AA$60="Media",'Mapa final'!$AC$60="Catastrófico"),CONCATENATE("R8C",'Mapa final'!$Q$60),"")</f>
        <v/>
      </c>
      <c r="AL33" s="42" t="str">
        <f>IF(AND('Mapa final'!$AA$61="Media",'Mapa final'!$AC$61="Catastrófico"),CONCATENATE("R8C",'Mapa final'!$Q$61),"")</f>
        <v/>
      </c>
      <c r="AM33" s="43" t="str">
        <f>IF(AND('Mapa final'!$AA$62="Media",'Mapa final'!$AC$62="Catastrófico"),CONCATENATE("R8C",'Mapa final'!$Q$62),"")</f>
        <v/>
      </c>
      <c r="AN33" s="70"/>
      <c r="AO33" s="367"/>
      <c r="AP33" s="368"/>
      <c r="AQ33" s="368"/>
      <c r="AR33" s="368"/>
      <c r="AS33" s="368"/>
      <c r="AT33" s="369"/>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85"/>
      <c r="C34" s="285"/>
      <c r="D34" s="286"/>
      <c r="E34" s="326"/>
      <c r="F34" s="327"/>
      <c r="G34" s="327"/>
      <c r="H34" s="327"/>
      <c r="I34" s="328"/>
      <c r="J34" s="54" t="str">
        <f>IF(AND('Mapa final'!$AA$63="Media",'Mapa final'!$AC$63="Leve"),CONCATENATE("R9C",'Mapa final'!$Q$63),"")</f>
        <v/>
      </c>
      <c r="K34" s="55" t="str">
        <f>IF(AND('Mapa final'!$AA$64="Media",'Mapa final'!$AC$64="Leve"),CONCATENATE("R9C",'Mapa final'!$Q$64),"")</f>
        <v/>
      </c>
      <c r="L34" s="55" t="str">
        <f>IF(AND('Mapa final'!$AA$65="Media",'Mapa final'!$AC$65="Leve"),CONCATENATE("R9C",'Mapa final'!$Q$65),"")</f>
        <v/>
      </c>
      <c r="M34" s="55" t="str">
        <f>IF(AND('Mapa final'!$AA$66="Media",'Mapa final'!$AC$66="Leve"),CONCATENATE("R9C",'Mapa final'!$Q$66),"")</f>
        <v/>
      </c>
      <c r="N34" s="55" t="str">
        <f>IF(AND('Mapa final'!$AA$67="Media",'Mapa final'!$AC$67="Leve"),CONCATENATE("R9C",'Mapa final'!$Q$67),"")</f>
        <v/>
      </c>
      <c r="O34" s="56" t="str">
        <f>IF(AND('Mapa final'!$AA$68="Media",'Mapa final'!$AC$68="Leve"),CONCATENATE("R9C",'Mapa final'!$Q$68),"")</f>
        <v/>
      </c>
      <c r="P34" s="54" t="str">
        <f>IF(AND('Mapa final'!$AA$63="Media",'Mapa final'!$AC$63="Menor"),CONCATENATE("R9C",'Mapa final'!$Q$63),"")</f>
        <v/>
      </c>
      <c r="Q34" s="55" t="str">
        <f>IF(AND('Mapa final'!$AA$64="Media",'Mapa final'!$AC$64="Menor"),CONCATENATE("R9C",'Mapa final'!$Q$64),"")</f>
        <v/>
      </c>
      <c r="R34" s="55" t="str">
        <f>IF(AND('Mapa final'!$AA$65="Media",'Mapa final'!$AC$65="Menor"),CONCATENATE("R9C",'Mapa final'!$Q$65),"")</f>
        <v/>
      </c>
      <c r="S34" s="55" t="str">
        <f>IF(AND('Mapa final'!$AA$66="Media",'Mapa final'!$AC$66="Menor"),CONCATENATE("R9C",'Mapa final'!$Q$66),"")</f>
        <v/>
      </c>
      <c r="T34" s="55" t="str">
        <f>IF(AND('Mapa final'!$AA$67="Media",'Mapa final'!$AC$67="Menor"),CONCATENATE("R9C",'Mapa final'!$Q$67),"")</f>
        <v/>
      </c>
      <c r="U34" s="56" t="str">
        <f>IF(AND('Mapa final'!$AA$68="Media",'Mapa final'!$AC$68="Menor"),CONCATENATE("R9C",'Mapa final'!$Q$68),"")</f>
        <v/>
      </c>
      <c r="V34" s="54" t="str">
        <f>IF(AND('Mapa final'!$AA$63="Media",'Mapa final'!$AC$63="Moderado"),CONCATENATE("R9C",'Mapa final'!$Q$63),"")</f>
        <v/>
      </c>
      <c r="W34" s="55" t="str">
        <f>IF(AND('Mapa final'!$AA$64="Media",'Mapa final'!$AC$64="Moderado"),CONCATENATE("R9C",'Mapa final'!$Q$64),"")</f>
        <v/>
      </c>
      <c r="X34" s="55" t="str">
        <f>IF(AND('Mapa final'!$AA$65="Media",'Mapa final'!$AC$65="Moderado"),CONCATENATE("R9C",'Mapa final'!$Q$65),"")</f>
        <v/>
      </c>
      <c r="Y34" s="55" t="str">
        <f>IF(AND('Mapa final'!$AA$66="Media",'Mapa final'!$AC$66="Moderado"),CONCATENATE("R9C",'Mapa final'!$Q$66),"")</f>
        <v/>
      </c>
      <c r="Z34" s="55" t="str">
        <f>IF(AND('Mapa final'!$AA$67="Media",'Mapa final'!$AC$67="Moderado"),CONCATENATE("R9C",'Mapa final'!$Q$67),"")</f>
        <v/>
      </c>
      <c r="AA34" s="56" t="str">
        <f>IF(AND('Mapa final'!$AA$68="Media",'Mapa final'!$AC$68="Moderado"),CONCATENATE("R9C",'Mapa final'!$Q$68),"")</f>
        <v/>
      </c>
      <c r="AB34" s="38" t="str">
        <f>IF(AND('Mapa final'!$AA$63="Media",'Mapa final'!$AC$63="Mayor"),CONCATENATE("R9C",'Mapa final'!$Q$63),"")</f>
        <v/>
      </c>
      <c r="AC34" s="39" t="str">
        <f>IF(AND('Mapa final'!$AA$64="Media",'Mapa final'!$AC$64="Mayor"),CONCATENATE("R9C",'Mapa final'!$Q$64),"")</f>
        <v/>
      </c>
      <c r="AD34" s="44" t="str">
        <f>IF(AND('Mapa final'!$AA$65="Media",'Mapa final'!$AC$65="Mayor"),CONCATENATE("R9C",'Mapa final'!$Q$65),"")</f>
        <v/>
      </c>
      <c r="AE34" s="44" t="str">
        <f>IF(AND('Mapa final'!$AA$66="Media",'Mapa final'!$AC$66="Mayor"),CONCATENATE("R9C",'Mapa final'!$Q$66),"")</f>
        <v/>
      </c>
      <c r="AF34" s="44" t="str">
        <f>IF(AND('Mapa final'!$AA$67="Media",'Mapa final'!$AC$67="Mayor"),CONCATENATE("R9C",'Mapa final'!$Q$67),"")</f>
        <v/>
      </c>
      <c r="AG34" s="40" t="str">
        <f>IF(AND('Mapa final'!$AA$68="Media",'Mapa final'!$AC$68="Mayor"),CONCATENATE("R9C",'Mapa final'!$Q$68),"")</f>
        <v/>
      </c>
      <c r="AH34" s="41" t="str">
        <f>IF(AND('Mapa final'!$AA$63="Media",'Mapa final'!$AC$63="Catastrófico"),CONCATENATE("R9C",'Mapa final'!$Q$63),"")</f>
        <v/>
      </c>
      <c r="AI34" s="42" t="str">
        <f>IF(AND('Mapa final'!$AA$64="Media",'Mapa final'!$AC$64="Catastrófico"),CONCATENATE("R9C",'Mapa final'!$Q$64),"")</f>
        <v/>
      </c>
      <c r="AJ34" s="42" t="str">
        <f>IF(AND('Mapa final'!$AA$65="Media",'Mapa final'!$AC$65="Catastrófico"),CONCATENATE("R9C",'Mapa final'!$Q$65),"")</f>
        <v/>
      </c>
      <c r="AK34" s="42" t="str">
        <f>IF(AND('Mapa final'!$AA$66="Media",'Mapa final'!$AC$66="Catastrófico"),CONCATENATE("R9C",'Mapa final'!$Q$66),"")</f>
        <v/>
      </c>
      <c r="AL34" s="42" t="str">
        <f>IF(AND('Mapa final'!$AA$67="Media",'Mapa final'!$AC$67="Catastrófico"),CONCATENATE("R9C",'Mapa final'!$Q$67),"")</f>
        <v/>
      </c>
      <c r="AM34" s="43" t="str">
        <f>IF(AND('Mapa final'!$AA$68="Media",'Mapa final'!$AC$68="Catastrófico"),CONCATENATE("R9C",'Mapa final'!$Q$68),"")</f>
        <v/>
      </c>
      <c r="AN34" s="70"/>
      <c r="AO34" s="367"/>
      <c r="AP34" s="368"/>
      <c r="AQ34" s="368"/>
      <c r="AR34" s="368"/>
      <c r="AS34" s="368"/>
      <c r="AT34" s="369"/>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85"/>
      <c r="C35" s="285"/>
      <c r="D35" s="286"/>
      <c r="E35" s="329"/>
      <c r="F35" s="330"/>
      <c r="G35" s="330"/>
      <c r="H35" s="330"/>
      <c r="I35" s="331"/>
      <c r="J35" s="54" t="str">
        <f>IF(AND('Mapa final'!$AA$69="Media",'Mapa final'!$AC$69="Leve"),CONCATENATE("R10C",'Mapa final'!$Q$69),"")</f>
        <v/>
      </c>
      <c r="K35" s="55" t="str">
        <f>IF(AND('Mapa final'!$AA$70="Media",'Mapa final'!$AC$70="Leve"),CONCATENATE("R10C",'Mapa final'!$Q$70),"")</f>
        <v/>
      </c>
      <c r="L35" s="55" t="str">
        <f>IF(AND('Mapa final'!$AA$71="Media",'Mapa final'!$AC$71="Leve"),CONCATENATE("R10C",'Mapa final'!$Q$71),"")</f>
        <v/>
      </c>
      <c r="M35" s="55" t="str">
        <f>IF(AND('Mapa final'!$AA$72="Media",'Mapa final'!$AC$72="Leve"),CONCATENATE("R10C",'Mapa final'!$Q$72),"")</f>
        <v/>
      </c>
      <c r="N35" s="55" t="str">
        <f>IF(AND('Mapa final'!$AA$73="Media",'Mapa final'!$AC$73="Leve"),CONCATENATE("R10C",'Mapa final'!$Q$73),"")</f>
        <v/>
      </c>
      <c r="O35" s="56" t="str">
        <f>IF(AND('Mapa final'!$AA$74="Media",'Mapa final'!$AC$74="Leve"),CONCATENATE("R10C",'Mapa final'!$Q$74),"")</f>
        <v/>
      </c>
      <c r="P35" s="54" t="str">
        <f>IF(AND('Mapa final'!$AA$69="Media",'Mapa final'!$AC$69="Menor"),CONCATENATE("R10C",'Mapa final'!$Q$69),"")</f>
        <v/>
      </c>
      <c r="Q35" s="55" t="str">
        <f>IF(AND('Mapa final'!$AA$70="Media",'Mapa final'!$AC$70="Menor"),CONCATENATE("R10C",'Mapa final'!$Q$70),"")</f>
        <v/>
      </c>
      <c r="R35" s="55" t="str">
        <f>IF(AND('Mapa final'!$AA$71="Media",'Mapa final'!$AC$71="Menor"),CONCATENATE("R10C",'Mapa final'!$Q$71),"")</f>
        <v/>
      </c>
      <c r="S35" s="55" t="str">
        <f>IF(AND('Mapa final'!$AA$72="Media",'Mapa final'!$AC$72="Menor"),CONCATENATE("R10C",'Mapa final'!$Q$72),"")</f>
        <v/>
      </c>
      <c r="T35" s="55" t="str">
        <f>IF(AND('Mapa final'!$AA$73="Media",'Mapa final'!$AC$73="Menor"),CONCATENATE("R10C",'Mapa final'!$Q$73),"")</f>
        <v/>
      </c>
      <c r="U35" s="56" t="str">
        <f>IF(AND('Mapa final'!$AA$74="Media",'Mapa final'!$AC$74="Menor"),CONCATENATE("R10C",'Mapa final'!$Q$74),"")</f>
        <v/>
      </c>
      <c r="V35" s="54" t="str">
        <f>IF(AND('Mapa final'!$AA$69="Media",'Mapa final'!$AC$69="Moderado"),CONCATENATE("R10C",'Mapa final'!$Q$69),"")</f>
        <v/>
      </c>
      <c r="W35" s="55" t="str">
        <f>IF(AND('Mapa final'!$AA$70="Media",'Mapa final'!$AC$70="Moderado"),CONCATENATE("R10C",'Mapa final'!$Q$70),"")</f>
        <v/>
      </c>
      <c r="X35" s="55" t="str">
        <f>IF(AND('Mapa final'!$AA$71="Media",'Mapa final'!$AC$71="Moderado"),CONCATENATE("R10C",'Mapa final'!$Q$71),"")</f>
        <v/>
      </c>
      <c r="Y35" s="55" t="str">
        <f>IF(AND('Mapa final'!$AA$72="Media",'Mapa final'!$AC$72="Moderado"),CONCATENATE("R10C",'Mapa final'!$Q$72),"")</f>
        <v/>
      </c>
      <c r="Z35" s="55" t="str">
        <f>IF(AND('Mapa final'!$AA$73="Media",'Mapa final'!$AC$73="Moderado"),CONCATENATE("R10C",'Mapa final'!$Q$73),"")</f>
        <v/>
      </c>
      <c r="AA35" s="56" t="str">
        <f>IF(AND('Mapa final'!$AA$74="Media",'Mapa final'!$AC$74="Moderado"),CONCATENATE("R10C",'Mapa final'!$Q$74),"")</f>
        <v/>
      </c>
      <c r="AB35" s="45" t="str">
        <f>IF(AND('Mapa final'!$AA$69="Media",'Mapa final'!$AC$69="Mayor"),CONCATENATE("R10C",'Mapa final'!$Q$69),"")</f>
        <v/>
      </c>
      <c r="AC35" s="46" t="str">
        <f>IF(AND('Mapa final'!$AA$70="Media",'Mapa final'!$AC$70="Mayor"),CONCATENATE("R10C",'Mapa final'!$Q$70),"")</f>
        <v/>
      </c>
      <c r="AD35" s="46" t="str">
        <f>IF(AND('Mapa final'!$AA$71="Media",'Mapa final'!$AC$71="Mayor"),CONCATENATE("R10C",'Mapa final'!$Q$71),"")</f>
        <v/>
      </c>
      <c r="AE35" s="46" t="str">
        <f>IF(AND('Mapa final'!$AA$72="Media",'Mapa final'!$AC$72="Mayor"),CONCATENATE("R10C",'Mapa final'!$Q$72),"")</f>
        <v/>
      </c>
      <c r="AF35" s="46" t="str">
        <f>IF(AND('Mapa final'!$AA$73="Media",'Mapa final'!$AC$73="Mayor"),CONCATENATE("R10C",'Mapa final'!$Q$73),"")</f>
        <v/>
      </c>
      <c r="AG35" s="47" t="str">
        <f>IF(AND('Mapa final'!$AA$74="Media",'Mapa final'!$AC$74="Mayor"),CONCATENATE("R10C",'Mapa final'!$Q$74),"")</f>
        <v/>
      </c>
      <c r="AH35" s="48" t="str">
        <f>IF(AND('Mapa final'!$AA$69="Media",'Mapa final'!$AC$69="Catastrófico"),CONCATENATE("R10C",'Mapa final'!$Q$69),"")</f>
        <v/>
      </c>
      <c r="AI35" s="49" t="str">
        <f>IF(AND('Mapa final'!$AA$70="Media",'Mapa final'!$AC$70="Catastrófico"),CONCATENATE("R10C",'Mapa final'!$Q$70),"")</f>
        <v/>
      </c>
      <c r="AJ35" s="49" t="str">
        <f>IF(AND('Mapa final'!$AA$71="Media",'Mapa final'!$AC$71="Catastrófico"),CONCATENATE("R10C",'Mapa final'!$Q$71),"")</f>
        <v/>
      </c>
      <c r="AK35" s="49" t="str">
        <f>IF(AND('Mapa final'!$AA$72="Media",'Mapa final'!$AC$72="Catastrófico"),CONCATENATE("R10C",'Mapa final'!$Q$72),"")</f>
        <v/>
      </c>
      <c r="AL35" s="49" t="str">
        <f>IF(AND('Mapa final'!$AA$73="Media",'Mapa final'!$AC$73="Catastrófico"),CONCATENATE("R10C",'Mapa final'!$Q$73),"")</f>
        <v/>
      </c>
      <c r="AM35" s="50" t="str">
        <f>IF(AND('Mapa final'!$AA$74="Media",'Mapa final'!$AC$74="Catastrófico"),CONCATENATE("R10C",'Mapa final'!$Q$74),"")</f>
        <v/>
      </c>
      <c r="AN35" s="70"/>
      <c r="AO35" s="370"/>
      <c r="AP35" s="371"/>
      <c r="AQ35" s="371"/>
      <c r="AR35" s="371"/>
      <c r="AS35" s="371"/>
      <c r="AT35" s="372"/>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85"/>
      <c r="C36" s="285"/>
      <c r="D36" s="286"/>
      <c r="E36" s="323" t="s">
        <v>110</v>
      </c>
      <c r="F36" s="324"/>
      <c r="G36" s="324"/>
      <c r="H36" s="324"/>
      <c r="I36" s="324"/>
      <c r="J36" s="60" t="str">
        <f>IF(AND('Mapa final'!$AA$9="Baja",'Mapa final'!$AC$9="Leve"),CONCATENATE("R1C",'Mapa final'!$Q$9),"")</f>
        <v/>
      </c>
      <c r="K36" s="61" t="str">
        <f>IF(AND('Mapa final'!$AA$10="Baja",'Mapa final'!$AC$10="Leve"),CONCATENATE("R1C",'Mapa final'!$Q$10),"")</f>
        <v/>
      </c>
      <c r="L36" s="61" t="str">
        <f>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IF(AND('Mapa final'!$AA$9="Baja",'Mapa final'!$AC$9="Menor"),CONCATENATE("R1C",'Mapa final'!$Q$9),"")</f>
        <v>R1C1</v>
      </c>
      <c r="Q36" s="52" t="str">
        <f>IF(AND('Mapa final'!$AA$10="Baja",'Mapa final'!$AC$10="Menor"),CONCATENATE("R1C",'Mapa final'!$Q$10),"")</f>
        <v>R1C2</v>
      </c>
      <c r="R36" s="52" t="str">
        <f>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IF(AND('Mapa final'!$AA$9="Baja",'Mapa final'!$AC$9="Moderado"),CONCATENATE("R1C",'Mapa final'!$Q$9),"")</f>
        <v/>
      </c>
      <c r="W36" s="52" t="str">
        <f>IF(AND('Mapa final'!$AA$10="Baja",'Mapa final'!$AC$10="Moderado"),CONCATENATE("R1C",'Mapa final'!$Q$10),"")</f>
        <v/>
      </c>
      <c r="X36" s="52" t="str">
        <f>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IF(AND('Mapa final'!$AA$9="Baja",'Mapa final'!$AC$9="Mayor"),CONCATENATE("R1C",'Mapa final'!$Q$9),"")</f>
        <v/>
      </c>
      <c r="AC36" s="33" t="str">
        <f>IF(AND('Mapa final'!$AA$10="Baja",'Mapa final'!$AC$10="Mayor"),CONCATENATE("R1C",'Mapa final'!$Q$10),"")</f>
        <v/>
      </c>
      <c r="AD36" s="33" t="str">
        <f>IF(AND('Mapa final'!$AA$11="Baja",'Mapa final'!$AC$11="Mayor"),CONCATENATE("R1C",'Mapa final'!$Q$11),"")</f>
        <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IF(AND('Mapa final'!$AA$9="Baja",'Mapa final'!$AC$9="Catastrófico"),CONCATENATE("R1C",'Mapa final'!$Q$9),"")</f>
        <v/>
      </c>
      <c r="AI36" s="36" t="str">
        <f>IF(AND('Mapa final'!$AA$10="Baja",'Mapa final'!$AC$10="Catastrófico"),CONCATENATE("R1C",'Mapa final'!$Q$10),"")</f>
        <v/>
      </c>
      <c r="AJ36" s="36" t="str">
        <f>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55" t="s">
        <v>78</v>
      </c>
      <c r="AP36" s="356"/>
      <c r="AQ36" s="356"/>
      <c r="AR36" s="356"/>
      <c r="AS36" s="356"/>
      <c r="AT36" s="35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85"/>
      <c r="C37" s="285"/>
      <c r="D37" s="286"/>
      <c r="E37" s="342"/>
      <c r="F37" s="343"/>
      <c r="G37" s="343"/>
      <c r="H37" s="343"/>
      <c r="I37" s="343"/>
      <c r="J37" s="63" t="str">
        <f>IF(AND('Mapa final'!$AA$15="Baja",'Mapa final'!$AC$15="Leve"),CONCATENATE("R2C",'Mapa final'!$Q$15),"")</f>
        <v/>
      </c>
      <c r="K37" s="64" t="str">
        <f>IF(AND('Mapa final'!$AA$16="Baja",'Mapa final'!$AC$16="Leve"),CONCATENATE("R2C",'Mapa final'!$Q$16),"")</f>
        <v/>
      </c>
      <c r="L37" s="64" t="str">
        <f>IF(AND('Mapa final'!$AA$17="Baja",'Mapa final'!$AC$17="Leve"),CONCATENATE("R2C",'Mapa final'!$Q$17),"")</f>
        <v/>
      </c>
      <c r="M37" s="64" t="str">
        <f>IF(AND('Mapa final'!$AA$18="Baja",'Mapa final'!$AC$18="Leve"),CONCATENATE("R2C",'Mapa final'!$Q$18),"")</f>
        <v/>
      </c>
      <c r="N37" s="64" t="str">
        <f>IF(AND('Mapa final'!$AA$19="Baja",'Mapa final'!$AC$19="Leve"),CONCATENATE("R2C",'Mapa final'!$Q$19),"")</f>
        <v/>
      </c>
      <c r="O37" s="65" t="str">
        <f>IF(AND('Mapa final'!$AA$20="Baja",'Mapa final'!$AC$20="Leve"),CONCATENATE("R2C",'Mapa final'!$Q$20),"")</f>
        <v/>
      </c>
      <c r="P37" s="54" t="str">
        <f>IF(AND('Mapa final'!$AA$15="Baja",'Mapa final'!$AC$15="Menor"),CONCATENATE("R2C",'Mapa final'!$Q$15),"")</f>
        <v>R2C1</v>
      </c>
      <c r="Q37" s="55" t="str">
        <f>IF(AND('Mapa final'!$AA$16="Baja",'Mapa final'!$AC$16="Menor"),CONCATENATE("R2C",'Mapa final'!$Q$16),"")</f>
        <v>R2C2</v>
      </c>
      <c r="R37" s="55" t="str">
        <f>IF(AND('Mapa final'!$AA$17="Baja",'Mapa final'!$AC$17="Menor"),CONCATENATE("R2C",'Mapa final'!$Q$17),"")</f>
        <v/>
      </c>
      <c r="S37" s="55" t="str">
        <f>IF(AND('Mapa final'!$AA$18="Baja",'Mapa final'!$AC$18="Menor"),CONCATENATE("R2C",'Mapa final'!$Q$18),"")</f>
        <v/>
      </c>
      <c r="T37" s="55" t="str">
        <f>IF(AND('Mapa final'!$AA$19="Baja",'Mapa final'!$AC$19="Menor"),CONCATENATE("R2C",'Mapa final'!$Q$19),"")</f>
        <v/>
      </c>
      <c r="U37" s="56" t="str">
        <f>IF(AND('Mapa final'!$AA$20="Baja",'Mapa final'!$AC$20="Menor"),CONCATENATE("R2C",'Mapa final'!$Q$20),"")</f>
        <v/>
      </c>
      <c r="V37" s="54" t="str">
        <f>IF(AND('Mapa final'!$AA$15="Baja",'Mapa final'!$AC$15="Moderado"),CONCATENATE("R2C",'Mapa final'!$Q$15),"")</f>
        <v/>
      </c>
      <c r="W37" s="55" t="str">
        <f>IF(AND('Mapa final'!$AA$16="Baja",'Mapa final'!$AC$16="Moderado"),CONCATENATE("R2C",'Mapa final'!$Q$16),"")</f>
        <v/>
      </c>
      <c r="X37" s="55" t="str">
        <f>IF(AND('Mapa final'!$AA$17="Baja",'Mapa final'!$AC$17="Moderado"),CONCATENATE("R2C",'Mapa final'!$Q$17),"")</f>
        <v/>
      </c>
      <c r="Y37" s="55" t="str">
        <f>IF(AND('Mapa final'!$AA$18="Baja",'Mapa final'!$AC$18="Moderado"),CONCATENATE("R2C",'Mapa final'!$Q$18),"")</f>
        <v/>
      </c>
      <c r="Z37" s="55" t="str">
        <f>IF(AND('Mapa final'!$AA$19="Baja",'Mapa final'!$AC$19="Moderado"),CONCATENATE("R2C",'Mapa final'!$Q$19),"")</f>
        <v/>
      </c>
      <c r="AA37" s="56" t="str">
        <f>IF(AND('Mapa final'!$AA$20="Baja",'Mapa final'!$AC$20="Moderado"),CONCATENATE("R2C",'Mapa final'!$Q$20),"")</f>
        <v/>
      </c>
      <c r="AB37" s="38" t="str">
        <f>IF(AND('Mapa final'!$AA$15="Baja",'Mapa final'!$AC$15="Mayor"),CONCATENATE("R2C",'Mapa final'!$Q$15),"")</f>
        <v/>
      </c>
      <c r="AC37" s="39" t="str">
        <f>IF(AND('Mapa final'!$AA$16="Baja",'Mapa final'!$AC$16="Mayor"),CONCATENATE("R2C",'Mapa final'!$Q$16),"")</f>
        <v/>
      </c>
      <c r="AD37" s="39" t="str">
        <f>IF(AND('Mapa final'!$AA$17="Baja",'Mapa final'!$AC$17="Mayor"),CONCATENATE("R2C",'Mapa final'!$Q$17),"")</f>
        <v/>
      </c>
      <c r="AE37" s="39" t="str">
        <f>IF(AND('Mapa final'!$AA$18="Baja",'Mapa final'!$AC$18="Mayor"),CONCATENATE("R2C",'Mapa final'!$Q$18),"")</f>
        <v/>
      </c>
      <c r="AF37" s="39" t="str">
        <f>IF(AND('Mapa final'!$AA$19="Baja",'Mapa final'!$AC$19="Mayor"),CONCATENATE("R2C",'Mapa final'!$Q$19),"")</f>
        <v/>
      </c>
      <c r="AG37" s="40" t="str">
        <f>IF(AND('Mapa final'!$AA$20="Baja",'Mapa final'!$AC$20="Mayor"),CONCATENATE("R2C",'Mapa final'!$Q$20),"")</f>
        <v/>
      </c>
      <c r="AH37" s="41" t="str">
        <f>IF(AND('Mapa final'!$AA$15="Baja",'Mapa final'!$AC$15="Catastrófico"),CONCATENATE("R2C",'Mapa final'!$Q$15),"")</f>
        <v/>
      </c>
      <c r="AI37" s="42" t="str">
        <f>IF(AND('Mapa final'!$AA$16="Baja",'Mapa final'!$AC$16="Catastrófico"),CONCATENATE("R2C",'Mapa final'!$Q$16),"")</f>
        <v/>
      </c>
      <c r="AJ37" s="42" t="str">
        <f>IF(AND('Mapa final'!$AA$17="Baja",'Mapa final'!$AC$17="Catastrófico"),CONCATENATE("R2C",'Mapa final'!$Q$17),"")</f>
        <v/>
      </c>
      <c r="AK37" s="42" t="str">
        <f>IF(AND('Mapa final'!$AA$18="Baja",'Mapa final'!$AC$18="Catastrófico"),CONCATENATE("R2C",'Mapa final'!$Q$18),"")</f>
        <v/>
      </c>
      <c r="AL37" s="42" t="str">
        <f>IF(AND('Mapa final'!$AA$19="Baja",'Mapa final'!$AC$19="Catastrófico"),CONCATENATE("R2C",'Mapa final'!$Q$19),"")</f>
        <v/>
      </c>
      <c r="AM37" s="43" t="str">
        <f>IF(AND('Mapa final'!$AA$20="Baja",'Mapa final'!$AC$20="Catastrófico"),CONCATENATE("R2C",'Mapa final'!$Q$20),"")</f>
        <v/>
      </c>
      <c r="AN37" s="70"/>
      <c r="AO37" s="358"/>
      <c r="AP37" s="359"/>
      <c r="AQ37" s="359"/>
      <c r="AR37" s="359"/>
      <c r="AS37" s="359"/>
      <c r="AT37" s="36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85"/>
      <c r="C38" s="285"/>
      <c r="D38" s="286"/>
      <c r="E38" s="326"/>
      <c r="F38" s="327"/>
      <c r="G38" s="327"/>
      <c r="H38" s="327"/>
      <c r="I38" s="343"/>
      <c r="J38" s="63" t="str">
        <f>IF(AND('Mapa final'!$AA$21="Baja",'Mapa final'!$AC$21="Leve"),CONCATENATE("R3C",'Mapa final'!$Q$21),"")</f>
        <v/>
      </c>
      <c r="K38" s="64" t="str">
        <f>IF(AND('Mapa final'!$AA$22="Baja",'Mapa final'!$AC$22="Leve"),CONCATENATE("R3C",'Mapa final'!$Q$22),"")</f>
        <v/>
      </c>
      <c r="L38" s="64" t="str">
        <f>IF(AND('Mapa final'!$AA$23="Baja",'Mapa final'!$AC$23="Leve"),CONCATENATE("R3C",'Mapa final'!$Q$23),"")</f>
        <v/>
      </c>
      <c r="M38" s="64" t="str">
        <f>IF(AND('Mapa final'!$AA$24="Baja",'Mapa final'!$AC$24="Leve"),CONCATENATE("R3C",'Mapa final'!$Q$24),"")</f>
        <v/>
      </c>
      <c r="N38" s="64" t="str">
        <f>IF(AND('Mapa final'!$AA$25="Baja",'Mapa final'!$AC$25="Leve"),CONCATENATE("R3C",'Mapa final'!$Q$25),"")</f>
        <v/>
      </c>
      <c r="O38" s="65" t="str">
        <f>IF(AND('Mapa final'!$AA$26="Baja",'Mapa final'!$AC$26="Leve"),CONCATENATE("R3C",'Mapa final'!$Q$26),"")</f>
        <v/>
      </c>
      <c r="P38" s="54" t="str">
        <f>IF(AND('Mapa final'!$AA$21="Baja",'Mapa final'!$AC$21="Menor"),CONCATENATE("R3C",'Mapa final'!$Q$21),"")</f>
        <v/>
      </c>
      <c r="Q38" s="55" t="str">
        <f>IF(AND('Mapa final'!$AA$22="Baja",'Mapa final'!$AC$22="Menor"),CONCATENATE("R3C",'Mapa final'!$Q$22),"")</f>
        <v>R3C2</v>
      </c>
      <c r="R38" s="55" t="str">
        <f>IF(AND('Mapa final'!$AA$23="Baja",'Mapa final'!$AC$23="Menor"),CONCATENATE("R3C",'Mapa final'!$Q$23),"")</f>
        <v/>
      </c>
      <c r="S38" s="55" t="str">
        <f>IF(AND('Mapa final'!$AA$24="Baja",'Mapa final'!$AC$24="Menor"),CONCATENATE("R3C",'Mapa final'!$Q$24),"")</f>
        <v/>
      </c>
      <c r="T38" s="55" t="str">
        <f>IF(AND('Mapa final'!$AA$25="Baja",'Mapa final'!$AC$25="Menor"),CONCATENATE("R3C",'Mapa final'!$Q$25),"")</f>
        <v/>
      </c>
      <c r="U38" s="56" t="str">
        <f>IF(AND('Mapa final'!$AA$26="Baja",'Mapa final'!$AC$26="Menor"),CONCATENATE("R3C",'Mapa final'!$Q$26),"")</f>
        <v/>
      </c>
      <c r="V38" s="54" t="str">
        <f>IF(AND('Mapa final'!$AA$21="Baja",'Mapa final'!$AC$21="Moderado"),CONCATENATE("R3C",'Mapa final'!$Q$21),"")</f>
        <v/>
      </c>
      <c r="W38" s="55" t="str">
        <f>IF(AND('Mapa final'!$AA$22="Baja",'Mapa final'!$AC$22="Moderado"),CONCATENATE("R3C",'Mapa final'!$Q$22),"")</f>
        <v/>
      </c>
      <c r="X38" s="55" t="str">
        <f>IF(AND('Mapa final'!$AA$23="Baja",'Mapa final'!$AC$23="Moderado"),CONCATENATE("R3C",'Mapa final'!$Q$23),"")</f>
        <v/>
      </c>
      <c r="Y38" s="55" t="str">
        <f>IF(AND('Mapa final'!$AA$24="Baja",'Mapa final'!$AC$24="Moderado"),CONCATENATE("R3C",'Mapa final'!$Q$24),"")</f>
        <v/>
      </c>
      <c r="Z38" s="55" t="str">
        <f>IF(AND('Mapa final'!$AA$25="Baja",'Mapa final'!$AC$25="Moderado"),CONCATENATE("R3C",'Mapa final'!$Q$25),"")</f>
        <v/>
      </c>
      <c r="AA38" s="56" t="str">
        <f>IF(AND('Mapa final'!$AA$26="Baja",'Mapa final'!$AC$26="Moderado"),CONCATENATE("R3C",'Mapa final'!$Q$26),"")</f>
        <v/>
      </c>
      <c r="AB38" s="38" t="str">
        <f>IF(AND('Mapa final'!$AA$21="Baja",'Mapa final'!$AC$21="Mayor"),CONCATENATE("R3C",'Mapa final'!$Q$21),"")</f>
        <v/>
      </c>
      <c r="AC38" s="39" t="str">
        <f>IF(AND('Mapa final'!$AA$22="Baja",'Mapa final'!$AC$22="Mayor"),CONCATENATE("R3C",'Mapa final'!$Q$22),"")</f>
        <v/>
      </c>
      <c r="AD38" s="39" t="str">
        <f>IF(AND('Mapa final'!$AA$23="Baja",'Mapa final'!$AC$23="Mayor"),CONCATENATE("R3C",'Mapa final'!$Q$23),"")</f>
        <v/>
      </c>
      <c r="AE38" s="39" t="str">
        <f>IF(AND('Mapa final'!$AA$24="Baja",'Mapa final'!$AC$24="Mayor"),CONCATENATE("R3C",'Mapa final'!$Q$24),"")</f>
        <v/>
      </c>
      <c r="AF38" s="39" t="str">
        <f>IF(AND('Mapa final'!$AA$25="Baja",'Mapa final'!$AC$25="Mayor"),CONCATENATE("R3C",'Mapa final'!$Q$25),"")</f>
        <v/>
      </c>
      <c r="AG38" s="40" t="str">
        <f>IF(AND('Mapa final'!$AA$26="Baja",'Mapa final'!$AC$26="Mayor"),CONCATENATE("R3C",'Mapa final'!$Q$26),"")</f>
        <v/>
      </c>
      <c r="AH38" s="41" t="str">
        <f>IF(AND('Mapa final'!$AA$21="Baja",'Mapa final'!$AC$21="Catastrófico"),CONCATENATE("R3C",'Mapa final'!$Q$21),"")</f>
        <v/>
      </c>
      <c r="AI38" s="42" t="str">
        <f>IF(AND('Mapa final'!$AA$22="Baja",'Mapa final'!$AC$22="Catastrófico"),CONCATENATE("R3C",'Mapa final'!$Q$22),"")</f>
        <v/>
      </c>
      <c r="AJ38" s="42" t="str">
        <f>IF(AND('Mapa final'!$AA$23="Baja",'Mapa final'!$AC$23="Catastrófico"),CONCATENATE("R3C",'Mapa final'!$Q$23),"")</f>
        <v/>
      </c>
      <c r="AK38" s="42" t="str">
        <f>IF(AND('Mapa final'!$AA$24="Baja",'Mapa final'!$AC$24="Catastrófico"),CONCATENATE("R3C",'Mapa final'!$Q$24),"")</f>
        <v/>
      </c>
      <c r="AL38" s="42" t="str">
        <f>IF(AND('Mapa final'!$AA$25="Baja",'Mapa final'!$AC$25="Catastrófico"),CONCATENATE("R3C",'Mapa final'!$Q$25),"")</f>
        <v/>
      </c>
      <c r="AM38" s="43" t="str">
        <f>IF(AND('Mapa final'!$AA$26="Baja",'Mapa final'!$AC$26="Catastrófico"),CONCATENATE("R3C",'Mapa final'!$Q$26),"")</f>
        <v/>
      </c>
      <c r="AN38" s="70"/>
      <c r="AO38" s="358"/>
      <c r="AP38" s="359"/>
      <c r="AQ38" s="359"/>
      <c r="AR38" s="359"/>
      <c r="AS38" s="359"/>
      <c r="AT38" s="36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85"/>
      <c r="C39" s="285"/>
      <c r="D39" s="286"/>
      <c r="E39" s="326"/>
      <c r="F39" s="327"/>
      <c r="G39" s="327"/>
      <c r="H39" s="327"/>
      <c r="I39" s="343"/>
      <c r="J39" s="63" t="str">
        <f>IF(AND('Mapa final'!$AA$27="Baja",'Mapa final'!$AC$27="Leve"),CONCATENATE("R4C",'Mapa final'!$Q$27),"")</f>
        <v/>
      </c>
      <c r="K39" s="64" t="str">
        <f>IF(AND('Mapa final'!$AA$28="Baja",'Mapa final'!$AC$28="Leve"),CONCATENATE("R4C",'Mapa final'!$Q$28),"")</f>
        <v/>
      </c>
      <c r="L39" s="64" t="str">
        <f>IF(AND('Mapa final'!$AA$29="Baja",'Mapa final'!$AC$29="Leve"),CONCATENATE("R4C",'Mapa final'!$Q$29),"")</f>
        <v/>
      </c>
      <c r="M39" s="64" t="str">
        <f>IF(AND('Mapa final'!$AA$30="Baja",'Mapa final'!$AC$30="Leve"),CONCATENATE("R4C",'Mapa final'!$Q$30),"")</f>
        <v/>
      </c>
      <c r="N39" s="64" t="str">
        <f>IF(AND('Mapa final'!$AA$31="Baja",'Mapa final'!$AC$31="Leve"),CONCATENATE("R4C",'Mapa final'!$Q$31),"")</f>
        <v/>
      </c>
      <c r="O39" s="65" t="str">
        <f>IF(AND('Mapa final'!$AA$32="Baja",'Mapa final'!$AC$32="Leve"),CONCATENATE("R4C",'Mapa final'!$Q$32),"")</f>
        <v/>
      </c>
      <c r="P39" s="54" t="str">
        <f>IF(AND('Mapa final'!$AA$27="Baja",'Mapa final'!$AC$27="Menor"),CONCATENATE("R4C",'Mapa final'!$Q$27),"")</f>
        <v>R4C1</v>
      </c>
      <c r="Q39" s="55" t="str">
        <f>IF(AND('Mapa final'!$AA$28="Baja",'Mapa final'!$AC$28="Menor"),CONCATENATE("R4C",'Mapa final'!$Q$28),"")</f>
        <v>R4C2</v>
      </c>
      <c r="R39" s="55" t="str">
        <f>IF(AND('Mapa final'!$AA$29="Baja",'Mapa final'!$AC$29="Menor"),CONCATENATE("R4C",'Mapa final'!$Q$29),"")</f>
        <v/>
      </c>
      <c r="S39" s="55" t="str">
        <f>IF(AND('Mapa final'!$AA$30="Baja",'Mapa final'!$AC$30="Menor"),CONCATENATE("R4C",'Mapa final'!$Q$30),"")</f>
        <v/>
      </c>
      <c r="T39" s="55" t="str">
        <f>IF(AND('Mapa final'!$AA$31="Baja",'Mapa final'!$AC$31="Menor"),CONCATENATE("R4C",'Mapa final'!$Q$31),"")</f>
        <v/>
      </c>
      <c r="U39" s="56" t="str">
        <f>IF(AND('Mapa final'!$AA$32="Baja",'Mapa final'!$AC$32="Menor"),CONCATENATE("R4C",'Mapa final'!$Q$32),"")</f>
        <v/>
      </c>
      <c r="V39" s="54" t="str">
        <f>IF(AND('Mapa final'!$AA$27="Baja",'Mapa final'!$AC$27="Moderado"),CONCATENATE("R4C",'Mapa final'!$Q$27),"")</f>
        <v/>
      </c>
      <c r="W39" s="55" t="str">
        <f>IF(AND('Mapa final'!$AA$28="Baja",'Mapa final'!$AC$28="Moderado"),CONCATENATE("R4C",'Mapa final'!$Q$28),"")</f>
        <v/>
      </c>
      <c r="X39" s="55" t="str">
        <f>IF(AND('Mapa final'!$AA$29="Baja",'Mapa final'!$AC$29="Moderado"),CONCATENATE("R4C",'Mapa final'!$Q$29),"")</f>
        <v/>
      </c>
      <c r="Y39" s="55" t="str">
        <f>IF(AND('Mapa final'!$AA$30="Baja",'Mapa final'!$AC$30="Moderado"),CONCATENATE("R4C",'Mapa final'!$Q$30),"")</f>
        <v/>
      </c>
      <c r="Z39" s="55" t="str">
        <f>IF(AND('Mapa final'!$AA$31="Baja",'Mapa final'!$AC$31="Moderado"),CONCATENATE("R4C",'Mapa final'!$Q$31),"")</f>
        <v/>
      </c>
      <c r="AA39" s="56" t="str">
        <f>IF(AND('Mapa final'!$AA$32="Baja",'Mapa final'!$AC$32="Moderado"),CONCATENATE("R4C",'Mapa final'!$Q$32),"")</f>
        <v/>
      </c>
      <c r="AB39" s="38" t="str">
        <f>IF(AND('Mapa final'!$AA$27="Baja",'Mapa final'!$AC$27="Mayor"),CONCATENATE("R4C",'Mapa final'!$Q$27),"")</f>
        <v/>
      </c>
      <c r="AC39" s="39" t="str">
        <f>IF(AND('Mapa final'!$AA$28="Baja",'Mapa final'!$AC$28="Mayor"),CONCATENATE("R4C",'Mapa final'!$Q$28),"")</f>
        <v/>
      </c>
      <c r="AD39" s="39" t="str">
        <f>IF(AND('Mapa final'!$AA$29="Baja",'Mapa final'!$AC$29="Mayor"),CONCATENATE("R4C",'Mapa final'!$Q$29),"")</f>
        <v/>
      </c>
      <c r="AE39" s="39" t="str">
        <f>IF(AND('Mapa final'!$AA$30="Baja",'Mapa final'!$AC$30="Mayor"),CONCATENATE("R4C",'Mapa final'!$Q$30),"")</f>
        <v/>
      </c>
      <c r="AF39" s="39" t="str">
        <f>IF(AND('Mapa final'!$AA$31="Baja",'Mapa final'!$AC$31="Mayor"),CONCATENATE("R4C",'Mapa final'!$Q$31),"")</f>
        <v/>
      </c>
      <c r="AG39" s="40" t="str">
        <f>IF(AND('Mapa final'!$AA$32="Baja",'Mapa final'!$AC$32="Mayor"),CONCATENATE("R4C",'Mapa final'!$Q$32),"")</f>
        <v/>
      </c>
      <c r="AH39" s="41" t="str">
        <f>IF(AND('Mapa final'!$AA$27="Baja",'Mapa final'!$AC$27="Catastrófico"),CONCATENATE("R4C",'Mapa final'!$Q$27),"")</f>
        <v/>
      </c>
      <c r="AI39" s="42" t="str">
        <f>IF(AND('Mapa final'!$AA$28="Baja",'Mapa final'!$AC$28="Catastrófico"),CONCATENATE("R4C",'Mapa final'!$Q$28),"")</f>
        <v/>
      </c>
      <c r="AJ39" s="42" t="str">
        <f>IF(AND('Mapa final'!$AA$29="Baja",'Mapa final'!$AC$29="Catastrófico"),CONCATENATE("R4C",'Mapa final'!$Q$29),"")</f>
        <v/>
      </c>
      <c r="AK39" s="42" t="str">
        <f>IF(AND('Mapa final'!$AA$30="Baja",'Mapa final'!$AC$30="Catastrófico"),CONCATENATE("R4C",'Mapa final'!$Q$30),"")</f>
        <v/>
      </c>
      <c r="AL39" s="42" t="str">
        <f>IF(AND('Mapa final'!$AA$31="Baja",'Mapa final'!$AC$31="Catastrófico"),CONCATENATE("R4C",'Mapa final'!$Q$31),"")</f>
        <v/>
      </c>
      <c r="AM39" s="43" t="str">
        <f>IF(AND('Mapa final'!$AA$32="Baja",'Mapa final'!$AC$32="Catastrófico"),CONCATENATE("R4C",'Mapa final'!$Q$32),"")</f>
        <v/>
      </c>
      <c r="AN39" s="70"/>
      <c r="AO39" s="358"/>
      <c r="AP39" s="359"/>
      <c r="AQ39" s="359"/>
      <c r="AR39" s="359"/>
      <c r="AS39" s="359"/>
      <c r="AT39" s="36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85"/>
      <c r="C40" s="285"/>
      <c r="D40" s="286"/>
      <c r="E40" s="326"/>
      <c r="F40" s="327"/>
      <c r="G40" s="327"/>
      <c r="H40" s="327"/>
      <c r="I40" s="343"/>
      <c r="J40" s="63" t="str">
        <f>IF(AND('Mapa final'!$AA$39="Baja",'Mapa final'!$AC$39="Leve"),CONCATENATE("R5C",'Mapa final'!$Q$39),"")</f>
        <v/>
      </c>
      <c r="K40" s="64" t="str">
        <f>IF(AND('Mapa final'!$AA$40="Baja",'Mapa final'!$AC$40="Leve"),CONCATENATE("R5C",'Mapa final'!$Q$40),"")</f>
        <v/>
      </c>
      <c r="L40" s="64" t="str">
        <f>IF(AND('Mapa final'!$AA$41="Baja",'Mapa final'!$AC$41="Leve"),CONCATENATE("R5C",'Mapa final'!$Q$41),"")</f>
        <v/>
      </c>
      <c r="M40" s="64" t="str">
        <f>IF(AND('Mapa final'!$AA$42="Baja",'Mapa final'!$AC$42="Leve"),CONCATENATE("R5C",'Mapa final'!$Q$42),"")</f>
        <v/>
      </c>
      <c r="N40" s="64" t="str">
        <f>IF(AND('Mapa final'!$AA$43="Baja",'Mapa final'!$AC$43="Leve"),CONCATENATE("R5C",'Mapa final'!$Q$43),"")</f>
        <v/>
      </c>
      <c r="O40" s="65" t="str">
        <f>IF(AND('Mapa final'!$AA$44="Baja",'Mapa final'!$AC$44="Leve"),CONCATENATE("R5C",'Mapa final'!$Q$44),"")</f>
        <v/>
      </c>
      <c r="P40" s="54" t="str">
        <f>IF(AND('Mapa final'!$AA$39="Baja",'Mapa final'!$AC$39="Menor"),CONCATENATE("R5C",'Mapa final'!$Q$39),"")</f>
        <v/>
      </c>
      <c r="Q40" s="55" t="str">
        <f>IF(AND('Mapa final'!$AA$40="Baja",'Mapa final'!$AC$40="Menor"),CONCATENATE("R5C",'Mapa final'!$Q$40),"")</f>
        <v/>
      </c>
      <c r="R40" s="55" t="str">
        <f>IF(AND('Mapa final'!$AA$41="Baja",'Mapa final'!$AC$41="Menor"),CONCATENATE("R5C",'Mapa final'!$Q$41),"")</f>
        <v/>
      </c>
      <c r="S40" s="55" t="str">
        <f>IF(AND('Mapa final'!$AA$42="Baja",'Mapa final'!$AC$42="Menor"),CONCATENATE("R5C",'Mapa final'!$Q$42),"")</f>
        <v/>
      </c>
      <c r="T40" s="55" t="str">
        <f>IF(AND('Mapa final'!$AA$43="Baja",'Mapa final'!$AC$43="Menor"),CONCATENATE("R5C",'Mapa final'!$Q$43),"")</f>
        <v/>
      </c>
      <c r="U40" s="56" t="str">
        <f>IF(AND('Mapa final'!$AA$44="Baja",'Mapa final'!$AC$44="Menor"),CONCATENATE("R5C",'Mapa final'!$Q$44),"")</f>
        <v/>
      </c>
      <c r="V40" s="54" t="str">
        <f>IF(AND('Mapa final'!$AA$39="Baja",'Mapa final'!$AC$39="Moderado"),CONCATENATE("R5C",'Mapa final'!$Q$39),"")</f>
        <v/>
      </c>
      <c r="W40" s="55" t="str">
        <f>IF(AND('Mapa final'!$AA$40="Baja",'Mapa final'!$AC$40="Moderado"),CONCATENATE("R5C",'Mapa final'!$Q$40),"")</f>
        <v/>
      </c>
      <c r="X40" s="55" t="str">
        <f>IF(AND('Mapa final'!$AA$41="Baja",'Mapa final'!$AC$41="Moderado"),CONCATENATE("R5C",'Mapa final'!$Q$41),"")</f>
        <v/>
      </c>
      <c r="Y40" s="55" t="str">
        <f>IF(AND('Mapa final'!$AA$42="Baja",'Mapa final'!$AC$42="Moderado"),CONCATENATE("R5C",'Mapa final'!$Q$42),"")</f>
        <v/>
      </c>
      <c r="Z40" s="55" t="str">
        <f>IF(AND('Mapa final'!$AA$43="Baja",'Mapa final'!$AC$43="Moderado"),CONCATENATE("R5C",'Mapa final'!$Q$43),"")</f>
        <v/>
      </c>
      <c r="AA40" s="56" t="str">
        <f>IF(AND('Mapa final'!$AA$44="Baja",'Mapa final'!$AC$44="Moderado"),CONCATENATE("R5C",'Mapa final'!$Q$44),"")</f>
        <v/>
      </c>
      <c r="AB40" s="38" t="str">
        <f>IF(AND('Mapa final'!$AA$39="Baja",'Mapa final'!$AC$39="Mayor"),CONCATENATE("R5C",'Mapa final'!$Q$39),"")</f>
        <v/>
      </c>
      <c r="AC40" s="39" t="str">
        <f>IF(AND('Mapa final'!$AA$40="Baja",'Mapa final'!$AC$40="Mayor"),CONCATENATE("R5C",'Mapa final'!$Q$40),"")</f>
        <v/>
      </c>
      <c r="AD40" s="44" t="str">
        <f>IF(AND('Mapa final'!$AA$41="Baja",'Mapa final'!$AC$41="Mayor"),CONCATENATE("R5C",'Mapa final'!$Q$41),"")</f>
        <v/>
      </c>
      <c r="AE40" s="44" t="str">
        <f>IF(AND('Mapa final'!$AA$42="Baja",'Mapa final'!$AC$42="Mayor"),CONCATENATE("R5C",'Mapa final'!$Q$42),"")</f>
        <v/>
      </c>
      <c r="AF40" s="44" t="str">
        <f>IF(AND('Mapa final'!$AA$43="Baja",'Mapa final'!$AC$43="Mayor"),CONCATENATE("R5C",'Mapa final'!$Q$43),"")</f>
        <v/>
      </c>
      <c r="AG40" s="40" t="str">
        <f>IF(AND('Mapa final'!$AA$44="Baja",'Mapa final'!$AC$44="Mayor"),CONCATENATE("R5C",'Mapa final'!$Q$44),"")</f>
        <v/>
      </c>
      <c r="AH40" s="41" t="str">
        <f>IF(AND('Mapa final'!$AA$39="Baja",'Mapa final'!$AC$39="Catastrófico"),CONCATENATE("R5C",'Mapa final'!$Q$39),"")</f>
        <v/>
      </c>
      <c r="AI40" s="42" t="str">
        <f>IF(AND('Mapa final'!$AA$40="Baja",'Mapa final'!$AC$40="Catastrófico"),CONCATENATE("R5C",'Mapa final'!$Q$40),"")</f>
        <v/>
      </c>
      <c r="AJ40" s="42" t="str">
        <f>IF(AND('Mapa final'!$AA$41="Baja",'Mapa final'!$AC$41="Catastrófico"),CONCATENATE("R5C",'Mapa final'!$Q$41),"")</f>
        <v/>
      </c>
      <c r="AK40" s="42" t="str">
        <f>IF(AND('Mapa final'!$AA$42="Baja",'Mapa final'!$AC$42="Catastrófico"),CONCATENATE("R5C",'Mapa final'!$Q$42),"")</f>
        <v/>
      </c>
      <c r="AL40" s="42" t="str">
        <f>IF(AND('Mapa final'!$AA$43="Baja",'Mapa final'!$AC$43="Catastrófico"),CONCATENATE("R5C",'Mapa final'!$Q$43),"")</f>
        <v/>
      </c>
      <c r="AM40" s="43" t="str">
        <f>IF(AND('Mapa final'!$AA$44="Baja",'Mapa final'!$AC$44="Catastrófico"),CONCATENATE("R5C",'Mapa final'!$Q$44),"")</f>
        <v/>
      </c>
      <c r="AN40" s="70"/>
      <c r="AO40" s="358"/>
      <c r="AP40" s="359"/>
      <c r="AQ40" s="359"/>
      <c r="AR40" s="359"/>
      <c r="AS40" s="359"/>
      <c r="AT40" s="36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85"/>
      <c r="C41" s="285"/>
      <c r="D41" s="286"/>
      <c r="E41" s="326"/>
      <c r="F41" s="327"/>
      <c r="G41" s="327"/>
      <c r="H41" s="327"/>
      <c r="I41" s="343"/>
      <c r="J41" s="63" t="str">
        <f>IF(AND('Mapa final'!$AA$45="Baja",'Mapa final'!$AC$45="Leve"),CONCATENATE("R6C",'Mapa final'!$Q$45),"")</f>
        <v/>
      </c>
      <c r="K41" s="64" t="str">
        <f>IF(AND('Mapa final'!$AA$46="Baja",'Mapa final'!$AC$46="Leve"),CONCATENATE("R6C",'Mapa final'!$Q$46),"")</f>
        <v/>
      </c>
      <c r="L41" s="64" t="str">
        <f>IF(AND('Mapa final'!$AA$47="Baja",'Mapa final'!$AC$47="Leve"),CONCATENATE("R6C",'Mapa final'!$Q$47),"")</f>
        <v/>
      </c>
      <c r="M41" s="64" t="str">
        <f>IF(AND('Mapa final'!$AA$48="Baja",'Mapa final'!$AC$48="Leve"),CONCATENATE("R6C",'Mapa final'!$Q$48),"")</f>
        <v/>
      </c>
      <c r="N41" s="64" t="str">
        <f>IF(AND('Mapa final'!$AA$49="Baja",'Mapa final'!$AC$49="Leve"),CONCATENATE("R6C",'Mapa final'!$Q$49),"")</f>
        <v/>
      </c>
      <c r="O41" s="65" t="str">
        <f>IF(AND('Mapa final'!$AA$50="Baja",'Mapa final'!$AC$50="Leve"),CONCATENATE("R6C",'Mapa final'!$Q$50),"")</f>
        <v/>
      </c>
      <c r="P41" s="54" t="str">
        <f>IF(AND('Mapa final'!$AA$45="Baja",'Mapa final'!$AC$45="Menor"),CONCATENATE("R6C",'Mapa final'!$Q$45),"")</f>
        <v/>
      </c>
      <c r="Q41" s="55" t="str">
        <f>IF(AND('Mapa final'!$AA$46="Baja",'Mapa final'!$AC$46="Menor"),CONCATENATE("R6C",'Mapa final'!$Q$46),"")</f>
        <v/>
      </c>
      <c r="R41" s="55" t="str">
        <f>IF(AND('Mapa final'!$AA$47="Baja",'Mapa final'!$AC$47="Menor"),CONCATENATE("R6C",'Mapa final'!$Q$47),"")</f>
        <v/>
      </c>
      <c r="S41" s="55" t="str">
        <f>IF(AND('Mapa final'!$AA$48="Baja",'Mapa final'!$AC$48="Menor"),CONCATENATE("R6C",'Mapa final'!$Q$48),"")</f>
        <v/>
      </c>
      <c r="T41" s="55" t="str">
        <f>IF(AND('Mapa final'!$AA$49="Baja",'Mapa final'!$AC$49="Menor"),CONCATENATE("R6C",'Mapa final'!$Q$49),"")</f>
        <v/>
      </c>
      <c r="U41" s="56" t="str">
        <f>IF(AND('Mapa final'!$AA$50="Baja",'Mapa final'!$AC$50="Menor"),CONCATENATE("R6C",'Mapa final'!$Q$50),"")</f>
        <v/>
      </c>
      <c r="V41" s="54" t="str">
        <f>IF(AND('Mapa final'!$AA$45="Baja",'Mapa final'!$AC$45="Moderado"),CONCATENATE("R6C",'Mapa final'!$Q$45),"")</f>
        <v/>
      </c>
      <c r="W41" s="55" t="str">
        <f>IF(AND('Mapa final'!$AA$46="Baja",'Mapa final'!$AC$46="Moderado"),CONCATENATE("R6C",'Mapa final'!$Q$46),"")</f>
        <v/>
      </c>
      <c r="X41" s="55" t="str">
        <f>IF(AND('Mapa final'!$AA$47="Baja",'Mapa final'!$AC$47="Moderado"),CONCATENATE("R6C",'Mapa final'!$Q$47),"")</f>
        <v/>
      </c>
      <c r="Y41" s="55" t="str">
        <f>IF(AND('Mapa final'!$AA$48="Baja",'Mapa final'!$AC$48="Moderado"),CONCATENATE("R6C",'Mapa final'!$Q$48),"")</f>
        <v/>
      </c>
      <c r="Z41" s="55" t="str">
        <f>IF(AND('Mapa final'!$AA$49="Baja",'Mapa final'!$AC$49="Moderado"),CONCATENATE("R6C",'Mapa final'!$Q$49),"")</f>
        <v/>
      </c>
      <c r="AA41" s="56" t="str">
        <f>IF(AND('Mapa final'!$AA$50="Baja",'Mapa final'!$AC$50="Moderado"),CONCATENATE("R6C",'Mapa final'!$Q$50),"")</f>
        <v/>
      </c>
      <c r="AB41" s="38" t="str">
        <f>IF(AND('Mapa final'!$AA$45="Baja",'Mapa final'!$AC$45="Mayor"),CONCATENATE("R6C",'Mapa final'!$Q$45),"")</f>
        <v/>
      </c>
      <c r="AC41" s="39" t="str">
        <f>IF(AND('Mapa final'!$AA$46="Baja",'Mapa final'!$AC$46="Mayor"),CONCATENATE("R6C",'Mapa final'!$Q$46),"")</f>
        <v/>
      </c>
      <c r="AD41" s="44" t="str">
        <f>IF(AND('Mapa final'!$AA$47="Baja",'Mapa final'!$AC$47="Mayor"),CONCATENATE("R6C",'Mapa final'!$Q$47),"")</f>
        <v/>
      </c>
      <c r="AE41" s="44" t="str">
        <f>IF(AND('Mapa final'!$AA$48="Baja",'Mapa final'!$AC$48="Mayor"),CONCATENATE("R6C",'Mapa final'!$Q$48),"")</f>
        <v/>
      </c>
      <c r="AF41" s="44" t="str">
        <f>IF(AND('Mapa final'!$AA$49="Baja",'Mapa final'!$AC$49="Mayor"),CONCATENATE("R6C",'Mapa final'!$Q$49),"")</f>
        <v/>
      </c>
      <c r="AG41" s="40" t="str">
        <f>IF(AND('Mapa final'!$AA$50="Baja",'Mapa final'!$AC$50="Mayor"),CONCATENATE("R6C",'Mapa final'!$Q$50),"")</f>
        <v/>
      </c>
      <c r="AH41" s="41" t="str">
        <f>IF(AND('Mapa final'!$AA$45="Baja",'Mapa final'!$AC$45="Catastrófico"),CONCATENATE("R6C",'Mapa final'!$Q$45),"")</f>
        <v/>
      </c>
      <c r="AI41" s="42" t="str">
        <f>IF(AND('Mapa final'!$AA$46="Baja",'Mapa final'!$AC$46="Catastrófico"),CONCATENATE("R6C",'Mapa final'!$Q$46),"")</f>
        <v/>
      </c>
      <c r="AJ41" s="42" t="str">
        <f>IF(AND('Mapa final'!$AA$47="Baja",'Mapa final'!$AC$47="Catastrófico"),CONCATENATE("R6C",'Mapa final'!$Q$47),"")</f>
        <v/>
      </c>
      <c r="AK41" s="42" t="str">
        <f>IF(AND('Mapa final'!$AA$48="Baja",'Mapa final'!$AC$48="Catastrófico"),CONCATENATE("R6C",'Mapa final'!$Q$48),"")</f>
        <v/>
      </c>
      <c r="AL41" s="42" t="str">
        <f>IF(AND('Mapa final'!$AA$49="Baja",'Mapa final'!$AC$49="Catastrófico"),CONCATENATE("R6C",'Mapa final'!$Q$49),"")</f>
        <v/>
      </c>
      <c r="AM41" s="43" t="str">
        <f>IF(AND('Mapa final'!$AA$50="Baja",'Mapa final'!$AC$50="Catastrófico"),CONCATENATE("R6C",'Mapa final'!$Q$50),"")</f>
        <v/>
      </c>
      <c r="AN41" s="70"/>
      <c r="AO41" s="358"/>
      <c r="AP41" s="359"/>
      <c r="AQ41" s="359"/>
      <c r="AR41" s="359"/>
      <c r="AS41" s="359"/>
      <c r="AT41" s="36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85"/>
      <c r="C42" s="285"/>
      <c r="D42" s="286"/>
      <c r="E42" s="326"/>
      <c r="F42" s="327"/>
      <c r="G42" s="327"/>
      <c r="H42" s="327"/>
      <c r="I42" s="343"/>
      <c r="J42" s="63" t="str">
        <f>IF(AND('Mapa final'!$AA$51="Baja",'Mapa final'!$AC$51="Leve"),CONCATENATE("R7C",'Mapa final'!$Q$51),"")</f>
        <v/>
      </c>
      <c r="K42" s="64" t="str">
        <f>IF(AND('Mapa final'!$AA$52="Baja",'Mapa final'!$AC$52="Leve"),CONCATENATE("R7C",'Mapa final'!$Q$52),"")</f>
        <v/>
      </c>
      <c r="L42" s="64" t="str">
        <f>IF(AND('Mapa final'!$AA$53="Baja",'Mapa final'!$AC$53="Leve"),CONCATENATE("R7C",'Mapa final'!$Q$53),"")</f>
        <v/>
      </c>
      <c r="M42" s="64" t="str">
        <f>IF(AND('Mapa final'!$AA$54="Baja",'Mapa final'!$AC$54="Leve"),CONCATENATE("R7C",'Mapa final'!$Q$54),"")</f>
        <v/>
      </c>
      <c r="N42" s="64" t="str">
        <f>IF(AND('Mapa final'!$AA$55="Baja",'Mapa final'!$AC$55="Leve"),CONCATENATE("R7C",'Mapa final'!$Q$55),"")</f>
        <v/>
      </c>
      <c r="O42" s="65" t="str">
        <f>IF(AND('Mapa final'!$AA$56="Baja",'Mapa final'!$AC$56="Leve"),CONCATENATE("R7C",'Mapa final'!$Q$56),"")</f>
        <v/>
      </c>
      <c r="P42" s="54" t="str">
        <f>IF(AND('Mapa final'!$AA$51="Baja",'Mapa final'!$AC$51="Menor"),CONCATENATE("R7C",'Mapa final'!$Q$51),"")</f>
        <v/>
      </c>
      <c r="Q42" s="55" t="str">
        <f>IF(AND('Mapa final'!$AA$52="Baja",'Mapa final'!$AC$52="Menor"),CONCATENATE("R7C",'Mapa final'!$Q$52),"")</f>
        <v/>
      </c>
      <c r="R42" s="55" t="str">
        <f>IF(AND('Mapa final'!$AA$53="Baja",'Mapa final'!$AC$53="Menor"),CONCATENATE("R7C",'Mapa final'!$Q$53),"")</f>
        <v/>
      </c>
      <c r="S42" s="55" t="str">
        <f>IF(AND('Mapa final'!$AA$54="Baja",'Mapa final'!$AC$54="Menor"),CONCATENATE("R7C",'Mapa final'!$Q$54),"")</f>
        <v/>
      </c>
      <c r="T42" s="55" t="str">
        <f>IF(AND('Mapa final'!$AA$55="Baja",'Mapa final'!$AC$55="Menor"),CONCATENATE("R7C",'Mapa final'!$Q$55),"")</f>
        <v/>
      </c>
      <c r="U42" s="56" t="str">
        <f>IF(AND('Mapa final'!$AA$56="Baja",'Mapa final'!$AC$56="Menor"),CONCATENATE("R7C",'Mapa final'!$Q$56),"")</f>
        <v/>
      </c>
      <c r="V42" s="54" t="str">
        <f>IF(AND('Mapa final'!$AA$51="Baja",'Mapa final'!$AC$51="Moderado"),CONCATENATE("R7C",'Mapa final'!$Q$51),"")</f>
        <v/>
      </c>
      <c r="W42" s="55" t="str">
        <f>IF(AND('Mapa final'!$AA$52="Baja",'Mapa final'!$AC$52="Moderado"),CONCATENATE("R7C",'Mapa final'!$Q$52),"")</f>
        <v/>
      </c>
      <c r="X42" s="55" t="str">
        <f>IF(AND('Mapa final'!$AA$53="Baja",'Mapa final'!$AC$53="Moderado"),CONCATENATE("R7C",'Mapa final'!$Q$53),"")</f>
        <v/>
      </c>
      <c r="Y42" s="55" t="str">
        <f>IF(AND('Mapa final'!$AA$54="Baja",'Mapa final'!$AC$54="Moderado"),CONCATENATE("R7C",'Mapa final'!$Q$54),"")</f>
        <v/>
      </c>
      <c r="Z42" s="55" t="str">
        <f>IF(AND('Mapa final'!$AA$55="Baja",'Mapa final'!$AC$55="Moderado"),CONCATENATE("R7C",'Mapa final'!$Q$55),"")</f>
        <v/>
      </c>
      <c r="AA42" s="56" t="str">
        <f>IF(AND('Mapa final'!$AA$56="Baja",'Mapa final'!$AC$56="Moderado"),CONCATENATE("R7C",'Mapa final'!$Q$56),"")</f>
        <v/>
      </c>
      <c r="AB42" s="38" t="str">
        <f>IF(AND('Mapa final'!$AA$51="Baja",'Mapa final'!$AC$51="Mayor"),CONCATENATE("R7C",'Mapa final'!$Q$51),"")</f>
        <v/>
      </c>
      <c r="AC42" s="39" t="str">
        <f>IF(AND('Mapa final'!$AA$52="Baja",'Mapa final'!$AC$52="Mayor"),CONCATENATE("R7C",'Mapa final'!$Q$52),"")</f>
        <v/>
      </c>
      <c r="AD42" s="44" t="str">
        <f>IF(AND('Mapa final'!$AA$53="Baja",'Mapa final'!$AC$53="Mayor"),CONCATENATE("R7C",'Mapa final'!$Q$53),"")</f>
        <v/>
      </c>
      <c r="AE42" s="44" t="str">
        <f>IF(AND('Mapa final'!$AA$54="Baja",'Mapa final'!$AC$54="Mayor"),CONCATENATE("R7C",'Mapa final'!$Q$54),"")</f>
        <v/>
      </c>
      <c r="AF42" s="44" t="str">
        <f>IF(AND('Mapa final'!$AA$55="Baja",'Mapa final'!$AC$55="Mayor"),CONCATENATE("R7C",'Mapa final'!$Q$55),"")</f>
        <v/>
      </c>
      <c r="AG42" s="40" t="str">
        <f>IF(AND('Mapa final'!$AA$56="Baja",'Mapa final'!$AC$56="Mayor"),CONCATENATE("R7C",'Mapa final'!$Q$56),"")</f>
        <v/>
      </c>
      <c r="AH42" s="41" t="str">
        <f>IF(AND('Mapa final'!$AA$51="Baja",'Mapa final'!$AC$51="Catastrófico"),CONCATENATE("R7C",'Mapa final'!$Q$51),"")</f>
        <v/>
      </c>
      <c r="AI42" s="42" t="str">
        <f>IF(AND('Mapa final'!$AA$52="Baja",'Mapa final'!$AC$52="Catastrófico"),CONCATENATE("R7C",'Mapa final'!$Q$52),"")</f>
        <v/>
      </c>
      <c r="AJ42" s="42" t="str">
        <f>IF(AND('Mapa final'!$AA$53="Baja",'Mapa final'!$AC$53="Catastrófico"),CONCATENATE("R7C",'Mapa final'!$Q$53),"")</f>
        <v/>
      </c>
      <c r="AK42" s="42" t="str">
        <f>IF(AND('Mapa final'!$AA$54="Baja",'Mapa final'!$AC$54="Catastrófico"),CONCATENATE("R7C",'Mapa final'!$Q$54),"")</f>
        <v/>
      </c>
      <c r="AL42" s="42" t="str">
        <f>IF(AND('Mapa final'!$AA$55="Baja",'Mapa final'!$AC$55="Catastrófico"),CONCATENATE("R7C",'Mapa final'!$Q$55),"")</f>
        <v/>
      </c>
      <c r="AM42" s="43" t="str">
        <f>IF(AND('Mapa final'!$AA$56="Baja",'Mapa final'!$AC$56="Catastrófico"),CONCATENATE("R7C",'Mapa final'!$Q$56),"")</f>
        <v/>
      </c>
      <c r="AN42" s="70"/>
      <c r="AO42" s="358"/>
      <c r="AP42" s="359"/>
      <c r="AQ42" s="359"/>
      <c r="AR42" s="359"/>
      <c r="AS42" s="359"/>
      <c r="AT42" s="36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85"/>
      <c r="C43" s="285"/>
      <c r="D43" s="286"/>
      <c r="E43" s="326"/>
      <c r="F43" s="327"/>
      <c r="G43" s="327"/>
      <c r="H43" s="327"/>
      <c r="I43" s="343"/>
      <c r="J43" s="63" t="str">
        <f>IF(AND('Mapa final'!$AA$57="Baja",'Mapa final'!$AC$57="Leve"),CONCATENATE("R8C",'Mapa final'!$Q$57),"")</f>
        <v/>
      </c>
      <c r="K43" s="64" t="str">
        <f>IF(AND('Mapa final'!$AA$58="Baja",'Mapa final'!$AC$58="Leve"),CONCATENATE("R8C",'Mapa final'!$Q$58),"")</f>
        <v/>
      </c>
      <c r="L43" s="64" t="str">
        <f>IF(AND('Mapa final'!$AA$59="Baja",'Mapa final'!$AC$59="Leve"),CONCATENATE("R8C",'Mapa final'!$Q$59),"")</f>
        <v/>
      </c>
      <c r="M43" s="64" t="str">
        <f>IF(AND('Mapa final'!$AA$60="Baja",'Mapa final'!$AC$60="Leve"),CONCATENATE("R8C",'Mapa final'!$Q$60),"")</f>
        <v/>
      </c>
      <c r="N43" s="64" t="str">
        <f>IF(AND('Mapa final'!$AA$61="Baja",'Mapa final'!$AC$61="Leve"),CONCATENATE("R8C",'Mapa final'!$Q$61),"")</f>
        <v/>
      </c>
      <c r="O43" s="65" t="str">
        <f>IF(AND('Mapa final'!$AA$62="Baja",'Mapa final'!$AC$62="Leve"),CONCATENATE("R8C",'Mapa final'!$Q$62),"")</f>
        <v/>
      </c>
      <c r="P43" s="54" t="str">
        <f>IF(AND('Mapa final'!$AA$57="Baja",'Mapa final'!$AC$57="Menor"),CONCATENATE("R8C",'Mapa final'!$Q$57),"")</f>
        <v/>
      </c>
      <c r="Q43" s="55" t="str">
        <f>IF(AND('Mapa final'!$AA$58="Baja",'Mapa final'!$AC$58="Menor"),CONCATENATE("R8C",'Mapa final'!$Q$58),"")</f>
        <v/>
      </c>
      <c r="R43" s="55" t="str">
        <f>IF(AND('Mapa final'!$AA$59="Baja",'Mapa final'!$AC$59="Menor"),CONCATENATE("R8C",'Mapa final'!$Q$59),"")</f>
        <v/>
      </c>
      <c r="S43" s="55" t="str">
        <f>IF(AND('Mapa final'!$AA$60="Baja",'Mapa final'!$AC$60="Menor"),CONCATENATE("R8C",'Mapa final'!$Q$60),"")</f>
        <v/>
      </c>
      <c r="T43" s="55" t="str">
        <f>IF(AND('Mapa final'!$AA$61="Baja",'Mapa final'!$AC$61="Menor"),CONCATENATE("R8C",'Mapa final'!$Q$61),"")</f>
        <v/>
      </c>
      <c r="U43" s="56" t="str">
        <f>IF(AND('Mapa final'!$AA$62="Baja",'Mapa final'!$AC$62="Menor"),CONCATENATE("R8C",'Mapa final'!$Q$62),"")</f>
        <v/>
      </c>
      <c r="V43" s="54" t="str">
        <f>IF(AND('Mapa final'!$AA$57="Baja",'Mapa final'!$AC$57="Moderado"),CONCATENATE("R8C",'Mapa final'!$Q$57),"")</f>
        <v/>
      </c>
      <c r="W43" s="55" t="str">
        <f>IF(AND('Mapa final'!$AA$58="Baja",'Mapa final'!$AC$58="Moderado"),CONCATENATE("R8C",'Mapa final'!$Q$58),"")</f>
        <v/>
      </c>
      <c r="X43" s="55" t="str">
        <f>IF(AND('Mapa final'!$AA$59="Baja",'Mapa final'!$AC$59="Moderado"),CONCATENATE("R8C",'Mapa final'!$Q$59),"")</f>
        <v/>
      </c>
      <c r="Y43" s="55" t="str">
        <f>IF(AND('Mapa final'!$AA$60="Baja",'Mapa final'!$AC$60="Moderado"),CONCATENATE("R8C",'Mapa final'!$Q$60),"")</f>
        <v/>
      </c>
      <c r="Z43" s="55" t="str">
        <f>IF(AND('Mapa final'!$AA$61="Baja",'Mapa final'!$AC$61="Moderado"),CONCATENATE("R8C",'Mapa final'!$Q$61),"")</f>
        <v/>
      </c>
      <c r="AA43" s="56" t="str">
        <f>IF(AND('Mapa final'!$AA$62="Baja",'Mapa final'!$AC$62="Moderado"),CONCATENATE("R8C",'Mapa final'!$Q$62),"")</f>
        <v/>
      </c>
      <c r="AB43" s="38" t="str">
        <f>IF(AND('Mapa final'!$AA$57="Baja",'Mapa final'!$AC$57="Mayor"),CONCATENATE("R8C",'Mapa final'!$Q$57),"")</f>
        <v/>
      </c>
      <c r="AC43" s="39" t="str">
        <f>IF(AND('Mapa final'!$AA$58="Baja",'Mapa final'!$AC$58="Mayor"),CONCATENATE("R8C",'Mapa final'!$Q$58),"")</f>
        <v/>
      </c>
      <c r="AD43" s="44" t="str">
        <f>IF(AND('Mapa final'!$AA$59="Baja",'Mapa final'!$AC$59="Mayor"),CONCATENATE("R8C",'Mapa final'!$Q$59),"")</f>
        <v/>
      </c>
      <c r="AE43" s="44" t="str">
        <f>IF(AND('Mapa final'!$AA$60="Baja",'Mapa final'!$AC$60="Mayor"),CONCATENATE("R8C",'Mapa final'!$Q$60),"")</f>
        <v/>
      </c>
      <c r="AF43" s="44" t="str">
        <f>IF(AND('Mapa final'!$AA$61="Baja",'Mapa final'!$AC$61="Mayor"),CONCATENATE("R8C",'Mapa final'!$Q$61),"")</f>
        <v/>
      </c>
      <c r="AG43" s="40" t="str">
        <f>IF(AND('Mapa final'!$AA$62="Baja",'Mapa final'!$AC$62="Mayor"),CONCATENATE("R8C",'Mapa final'!$Q$62),"")</f>
        <v/>
      </c>
      <c r="AH43" s="41" t="str">
        <f>IF(AND('Mapa final'!$AA$57="Baja",'Mapa final'!$AC$57="Catastrófico"),CONCATENATE("R8C",'Mapa final'!$Q$57),"")</f>
        <v/>
      </c>
      <c r="AI43" s="42" t="str">
        <f>IF(AND('Mapa final'!$AA$58="Baja",'Mapa final'!$AC$58="Catastrófico"),CONCATENATE("R8C",'Mapa final'!$Q$58),"")</f>
        <v/>
      </c>
      <c r="AJ43" s="42" t="str">
        <f>IF(AND('Mapa final'!$AA$59="Baja",'Mapa final'!$AC$59="Catastrófico"),CONCATENATE("R8C",'Mapa final'!$Q$59),"")</f>
        <v/>
      </c>
      <c r="AK43" s="42" t="str">
        <f>IF(AND('Mapa final'!$AA$60="Baja",'Mapa final'!$AC$60="Catastrófico"),CONCATENATE("R8C",'Mapa final'!$Q$60),"")</f>
        <v/>
      </c>
      <c r="AL43" s="42" t="str">
        <f>IF(AND('Mapa final'!$AA$61="Baja",'Mapa final'!$AC$61="Catastrófico"),CONCATENATE("R8C",'Mapa final'!$Q$61),"")</f>
        <v/>
      </c>
      <c r="AM43" s="43" t="str">
        <f>IF(AND('Mapa final'!$AA$62="Baja",'Mapa final'!$AC$62="Catastrófico"),CONCATENATE("R8C",'Mapa final'!$Q$62),"")</f>
        <v/>
      </c>
      <c r="AN43" s="70"/>
      <c r="AO43" s="358"/>
      <c r="AP43" s="359"/>
      <c r="AQ43" s="359"/>
      <c r="AR43" s="359"/>
      <c r="AS43" s="359"/>
      <c r="AT43" s="36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85"/>
      <c r="C44" s="285"/>
      <c r="D44" s="286"/>
      <c r="E44" s="326"/>
      <c r="F44" s="327"/>
      <c r="G44" s="327"/>
      <c r="H44" s="327"/>
      <c r="I44" s="343"/>
      <c r="J44" s="63" t="str">
        <f>IF(AND('Mapa final'!$AA$63="Baja",'Mapa final'!$AC$63="Leve"),CONCATENATE("R9C",'Mapa final'!$Q$63),"")</f>
        <v/>
      </c>
      <c r="K44" s="64" t="str">
        <f>IF(AND('Mapa final'!$AA$64="Baja",'Mapa final'!$AC$64="Leve"),CONCATENATE("R9C",'Mapa final'!$Q$64),"")</f>
        <v/>
      </c>
      <c r="L44" s="64" t="str">
        <f>IF(AND('Mapa final'!$AA$65="Baja",'Mapa final'!$AC$65="Leve"),CONCATENATE("R9C",'Mapa final'!$Q$65),"")</f>
        <v/>
      </c>
      <c r="M44" s="64" t="str">
        <f>IF(AND('Mapa final'!$AA$66="Baja",'Mapa final'!$AC$66="Leve"),CONCATENATE("R9C",'Mapa final'!$Q$66),"")</f>
        <v/>
      </c>
      <c r="N44" s="64" t="str">
        <f>IF(AND('Mapa final'!$AA$67="Baja",'Mapa final'!$AC$67="Leve"),CONCATENATE("R9C",'Mapa final'!$Q$67),"")</f>
        <v/>
      </c>
      <c r="O44" s="65" t="str">
        <f>IF(AND('Mapa final'!$AA$68="Baja",'Mapa final'!$AC$68="Leve"),CONCATENATE("R9C",'Mapa final'!$Q$68),"")</f>
        <v/>
      </c>
      <c r="P44" s="54" t="str">
        <f>IF(AND('Mapa final'!$AA$63="Baja",'Mapa final'!$AC$63="Menor"),CONCATENATE("R9C",'Mapa final'!$Q$63),"")</f>
        <v/>
      </c>
      <c r="Q44" s="55" t="str">
        <f>IF(AND('Mapa final'!$AA$64="Baja",'Mapa final'!$AC$64="Menor"),CONCATENATE("R9C",'Mapa final'!$Q$64),"")</f>
        <v/>
      </c>
      <c r="R44" s="55" t="str">
        <f>IF(AND('Mapa final'!$AA$65="Baja",'Mapa final'!$AC$65="Menor"),CONCATENATE("R9C",'Mapa final'!$Q$65),"")</f>
        <v/>
      </c>
      <c r="S44" s="55" t="str">
        <f>IF(AND('Mapa final'!$AA$66="Baja",'Mapa final'!$AC$66="Menor"),CONCATENATE("R9C",'Mapa final'!$Q$66),"")</f>
        <v/>
      </c>
      <c r="T44" s="55" t="str">
        <f>IF(AND('Mapa final'!$AA$67="Baja",'Mapa final'!$AC$67="Menor"),CONCATENATE("R9C",'Mapa final'!$Q$67),"")</f>
        <v/>
      </c>
      <c r="U44" s="56" t="str">
        <f>IF(AND('Mapa final'!$AA$68="Baja",'Mapa final'!$AC$68="Menor"),CONCATENATE("R9C",'Mapa final'!$Q$68),"")</f>
        <v/>
      </c>
      <c r="V44" s="54" t="str">
        <f>IF(AND('Mapa final'!$AA$63="Baja",'Mapa final'!$AC$63="Moderado"),CONCATENATE("R9C",'Mapa final'!$Q$63),"")</f>
        <v/>
      </c>
      <c r="W44" s="55" t="str">
        <f>IF(AND('Mapa final'!$AA$64="Baja",'Mapa final'!$AC$64="Moderado"),CONCATENATE("R9C",'Mapa final'!$Q$64),"")</f>
        <v/>
      </c>
      <c r="X44" s="55" t="str">
        <f>IF(AND('Mapa final'!$AA$65="Baja",'Mapa final'!$AC$65="Moderado"),CONCATENATE("R9C",'Mapa final'!$Q$65),"")</f>
        <v/>
      </c>
      <c r="Y44" s="55" t="str">
        <f>IF(AND('Mapa final'!$AA$66="Baja",'Mapa final'!$AC$66="Moderado"),CONCATENATE("R9C",'Mapa final'!$Q$66),"")</f>
        <v/>
      </c>
      <c r="Z44" s="55" t="str">
        <f>IF(AND('Mapa final'!$AA$67="Baja",'Mapa final'!$AC$67="Moderado"),CONCATENATE("R9C",'Mapa final'!$Q$67),"")</f>
        <v/>
      </c>
      <c r="AA44" s="56" t="str">
        <f>IF(AND('Mapa final'!$AA$68="Baja",'Mapa final'!$AC$68="Moderado"),CONCATENATE("R9C",'Mapa final'!$Q$68),"")</f>
        <v/>
      </c>
      <c r="AB44" s="38" t="str">
        <f>IF(AND('Mapa final'!$AA$63="Baja",'Mapa final'!$AC$63="Mayor"),CONCATENATE("R9C",'Mapa final'!$Q$63),"")</f>
        <v/>
      </c>
      <c r="AC44" s="39" t="str">
        <f>IF(AND('Mapa final'!$AA$64="Baja",'Mapa final'!$AC$64="Mayor"),CONCATENATE("R9C",'Mapa final'!$Q$64),"")</f>
        <v/>
      </c>
      <c r="AD44" s="44" t="str">
        <f>IF(AND('Mapa final'!$AA$65="Baja",'Mapa final'!$AC$65="Mayor"),CONCATENATE("R9C",'Mapa final'!$Q$65),"")</f>
        <v/>
      </c>
      <c r="AE44" s="44" t="str">
        <f>IF(AND('Mapa final'!$AA$66="Baja",'Mapa final'!$AC$66="Mayor"),CONCATENATE("R9C",'Mapa final'!$Q$66),"")</f>
        <v/>
      </c>
      <c r="AF44" s="44" t="str">
        <f>IF(AND('Mapa final'!$AA$67="Baja",'Mapa final'!$AC$67="Mayor"),CONCATENATE("R9C",'Mapa final'!$Q$67),"")</f>
        <v/>
      </c>
      <c r="AG44" s="40" t="str">
        <f>IF(AND('Mapa final'!$AA$68="Baja",'Mapa final'!$AC$68="Mayor"),CONCATENATE("R9C",'Mapa final'!$Q$68),"")</f>
        <v/>
      </c>
      <c r="AH44" s="41" t="str">
        <f>IF(AND('Mapa final'!$AA$63="Baja",'Mapa final'!$AC$63="Catastrófico"),CONCATENATE("R9C",'Mapa final'!$Q$63),"")</f>
        <v/>
      </c>
      <c r="AI44" s="42" t="str">
        <f>IF(AND('Mapa final'!$AA$64="Baja",'Mapa final'!$AC$64="Catastrófico"),CONCATENATE("R9C",'Mapa final'!$Q$64),"")</f>
        <v/>
      </c>
      <c r="AJ44" s="42" t="str">
        <f>IF(AND('Mapa final'!$AA$65="Baja",'Mapa final'!$AC$65="Catastrófico"),CONCATENATE("R9C",'Mapa final'!$Q$65),"")</f>
        <v/>
      </c>
      <c r="AK44" s="42" t="str">
        <f>IF(AND('Mapa final'!$AA$66="Baja",'Mapa final'!$AC$66="Catastrófico"),CONCATENATE("R9C",'Mapa final'!$Q$66),"")</f>
        <v/>
      </c>
      <c r="AL44" s="42" t="str">
        <f>IF(AND('Mapa final'!$AA$67="Baja",'Mapa final'!$AC$67="Catastrófico"),CONCATENATE("R9C",'Mapa final'!$Q$67),"")</f>
        <v/>
      </c>
      <c r="AM44" s="43" t="str">
        <f>IF(AND('Mapa final'!$AA$68="Baja",'Mapa final'!$AC$68="Catastrófico"),CONCATENATE("R9C",'Mapa final'!$Q$68),"")</f>
        <v/>
      </c>
      <c r="AN44" s="70"/>
      <c r="AO44" s="358"/>
      <c r="AP44" s="359"/>
      <c r="AQ44" s="359"/>
      <c r="AR44" s="359"/>
      <c r="AS44" s="359"/>
      <c r="AT44" s="36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85"/>
      <c r="C45" s="285"/>
      <c r="D45" s="286"/>
      <c r="E45" s="329"/>
      <c r="F45" s="330"/>
      <c r="G45" s="330"/>
      <c r="H45" s="330"/>
      <c r="I45" s="330"/>
      <c r="J45" s="66" t="str">
        <f>IF(AND('Mapa final'!$AA$69="Baja",'Mapa final'!$AC$69="Leve"),CONCATENATE("R10C",'Mapa final'!$Q$69),"")</f>
        <v/>
      </c>
      <c r="K45" s="67" t="str">
        <f>IF(AND('Mapa final'!$AA$70="Baja",'Mapa final'!$AC$70="Leve"),CONCATENATE("R10C",'Mapa final'!$Q$70),"")</f>
        <v/>
      </c>
      <c r="L45" s="67" t="str">
        <f>IF(AND('Mapa final'!$AA$71="Baja",'Mapa final'!$AC$71="Leve"),CONCATENATE("R10C",'Mapa final'!$Q$71),"")</f>
        <v/>
      </c>
      <c r="M45" s="67" t="str">
        <f>IF(AND('Mapa final'!$AA$72="Baja",'Mapa final'!$AC$72="Leve"),CONCATENATE("R10C",'Mapa final'!$Q$72),"")</f>
        <v/>
      </c>
      <c r="N45" s="67" t="str">
        <f>IF(AND('Mapa final'!$AA$73="Baja",'Mapa final'!$AC$73="Leve"),CONCATENATE("R10C",'Mapa final'!$Q$73),"")</f>
        <v/>
      </c>
      <c r="O45" s="68" t="str">
        <f>IF(AND('Mapa final'!$AA$74="Baja",'Mapa final'!$AC$74="Leve"),CONCATENATE("R10C",'Mapa final'!$Q$74),"")</f>
        <v/>
      </c>
      <c r="P45" s="54" t="str">
        <f>IF(AND('Mapa final'!$AA$69="Baja",'Mapa final'!$AC$69="Menor"),CONCATENATE("R10C",'Mapa final'!$Q$69),"")</f>
        <v/>
      </c>
      <c r="Q45" s="55" t="str">
        <f>IF(AND('Mapa final'!$AA$70="Baja",'Mapa final'!$AC$70="Menor"),CONCATENATE("R10C",'Mapa final'!$Q$70),"")</f>
        <v/>
      </c>
      <c r="R45" s="55" t="str">
        <f>IF(AND('Mapa final'!$AA$71="Baja",'Mapa final'!$AC$71="Menor"),CONCATENATE("R10C",'Mapa final'!$Q$71),"")</f>
        <v/>
      </c>
      <c r="S45" s="55" t="str">
        <f>IF(AND('Mapa final'!$AA$72="Baja",'Mapa final'!$AC$72="Menor"),CONCATENATE("R10C",'Mapa final'!$Q$72),"")</f>
        <v/>
      </c>
      <c r="T45" s="55" t="str">
        <f>IF(AND('Mapa final'!$AA$73="Baja",'Mapa final'!$AC$73="Menor"),CONCATENATE("R10C",'Mapa final'!$Q$73),"")</f>
        <v/>
      </c>
      <c r="U45" s="56" t="str">
        <f>IF(AND('Mapa final'!$AA$74="Baja",'Mapa final'!$AC$74="Menor"),CONCATENATE("R10C",'Mapa final'!$Q$74),"")</f>
        <v/>
      </c>
      <c r="V45" s="57" t="str">
        <f>IF(AND('Mapa final'!$AA$69="Baja",'Mapa final'!$AC$69="Moderado"),CONCATENATE("R10C",'Mapa final'!$Q$69),"")</f>
        <v/>
      </c>
      <c r="W45" s="58" t="str">
        <f>IF(AND('Mapa final'!$AA$70="Baja",'Mapa final'!$AC$70="Moderado"),CONCATENATE("R10C",'Mapa final'!$Q$70),"")</f>
        <v/>
      </c>
      <c r="X45" s="58" t="str">
        <f>IF(AND('Mapa final'!$AA$71="Baja",'Mapa final'!$AC$71="Moderado"),CONCATENATE("R10C",'Mapa final'!$Q$71),"")</f>
        <v/>
      </c>
      <c r="Y45" s="58" t="str">
        <f>IF(AND('Mapa final'!$AA$72="Baja",'Mapa final'!$AC$72="Moderado"),CONCATENATE("R10C",'Mapa final'!$Q$72),"")</f>
        <v/>
      </c>
      <c r="Z45" s="58" t="str">
        <f>IF(AND('Mapa final'!$AA$73="Baja",'Mapa final'!$AC$73="Moderado"),CONCATENATE("R10C",'Mapa final'!$Q$73),"")</f>
        <v/>
      </c>
      <c r="AA45" s="59" t="str">
        <f>IF(AND('Mapa final'!$AA$74="Baja",'Mapa final'!$AC$74="Moderado"),CONCATENATE("R10C",'Mapa final'!$Q$74),"")</f>
        <v/>
      </c>
      <c r="AB45" s="45" t="str">
        <f>IF(AND('Mapa final'!$AA$69="Baja",'Mapa final'!$AC$69="Mayor"),CONCATENATE("R10C",'Mapa final'!$Q$69),"")</f>
        <v/>
      </c>
      <c r="AC45" s="46" t="str">
        <f>IF(AND('Mapa final'!$AA$70="Baja",'Mapa final'!$AC$70="Mayor"),CONCATENATE("R10C",'Mapa final'!$Q$70),"")</f>
        <v/>
      </c>
      <c r="AD45" s="46" t="str">
        <f>IF(AND('Mapa final'!$AA$71="Baja",'Mapa final'!$AC$71="Mayor"),CONCATENATE("R10C",'Mapa final'!$Q$71),"")</f>
        <v/>
      </c>
      <c r="AE45" s="46" t="str">
        <f>IF(AND('Mapa final'!$AA$72="Baja",'Mapa final'!$AC$72="Mayor"),CONCATENATE("R10C",'Mapa final'!$Q$72),"")</f>
        <v/>
      </c>
      <c r="AF45" s="46" t="str">
        <f>IF(AND('Mapa final'!$AA$73="Baja",'Mapa final'!$AC$73="Mayor"),CONCATENATE("R10C",'Mapa final'!$Q$73),"")</f>
        <v/>
      </c>
      <c r="AG45" s="47" t="str">
        <f>IF(AND('Mapa final'!$AA$74="Baja",'Mapa final'!$AC$74="Mayor"),CONCATENATE("R10C",'Mapa final'!$Q$74),"")</f>
        <v/>
      </c>
      <c r="AH45" s="48" t="str">
        <f>IF(AND('Mapa final'!$AA$69="Baja",'Mapa final'!$AC$69="Catastrófico"),CONCATENATE("R10C",'Mapa final'!$Q$69),"")</f>
        <v/>
      </c>
      <c r="AI45" s="49" t="str">
        <f>IF(AND('Mapa final'!$AA$70="Baja",'Mapa final'!$AC$70="Catastrófico"),CONCATENATE("R10C",'Mapa final'!$Q$70),"")</f>
        <v/>
      </c>
      <c r="AJ45" s="49" t="str">
        <f>IF(AND('Mapa final'!$AA$71="Baja",'Mapa final'!$AC$71="Catastrófico"),CONCATENATE("R10C",'Mapa final'!$Q$71),"")</f>
        <v/>
      </c>
      <c r="AK45" s="49" t="str">
        <f>IF(AND('Mapa final'!$AA$72="Baja",'Mapa final'!$AC$72="Catastrófico"),CONCATENATE("R10C",'Mapa final'!$Q$72),"")</f>
        <v/>
      </c>
      <c r="AL45" s="49" t="str">
        <f>IF(AND('Mapa final'!$AA$73="Baja",'Mapa final'!$AC$73="Catastrófico"),CONCATENATE("R10C",'Mapa final'!$Q$73),"")</f>
        <v/>
      </c>
      <c r="AM45" s="50" t="str">
        <f>IF(AND('Mapa final'!$AA$74="Baja",'Mapa final'!$AC$74="Catastrófico"),CONCATENATE("R10C",'Mapa final'!$Q$74),"")</f>
        <v/>
      </c>
      <c r="AN45" s="70"/>
      <c r="AO45" s="361"/>
      <c r="AP45" s="362"/>
      <c r="AQ45" s="362"/>
      <c r="AR45" s="362"/>
      <c r="AS45" s="362"/>
      <c r="AT45" s="363"/>
    </row>
    <row r="46" spans="1:80" ht="46.5" customHeight="1" x14ac:dyDescent="0.35">
      <c r="A46" s="70"/>
      <c r="B46" s="285"/>
      <c r="C46" s="285"/>
      <c r="D46" s="286"/>
      <c r="E46" s="323" t="s">
        <v>109</v>
      </c>
      <c r="F46" s="324"/>
      <c r="G46" s="324"/>
      <c r="H46" s="324"/>
      <c r="I46" s="325"/>
      <c r="J46" s="60" t="str">
        <f>IF(AND('Mapa final'!$AA$9="Muy Baja",'Mapa final'!$AC$9="Leve"),CONCATENATE("R1C",'Mapa final'!$Q$9),"")</f>
        <v/>
      </c>
      <c r="K46" s="61" t="str">
        <f>IF(AND('Mapa final'!$AA$10="Muy Baja",'Mapa final'!$AC$10="Leve"),CONCATENATE("R1C",'Mapa final'!$Q$10),"")</f>
        <v/>
      </c>
      <c r="L46" s="61" t="str">
        <f>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IF(AND('Mapa final'!$AA$9="Muy Baja",'Mapa final'!$AC$9="Menor"),CONCATENATE("R1C",'Mapa final'!$Q$9),"")</f>
        <v/>
      </c>
      <c r="Q46" s="61" t="str">
        <f>IF(AND('Mapa final'!$AA$10="Muy Baja",'Mapa final'!$AC$10="Menor"),CONCATENATE("R1C",'Mapa final'!$Q$10),"")</f>
        <v/>
      </c>
      <c r="R46" s="61" t="str">
        <f>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IF(AND('Mapa final'!$AA$9="Muy Baja",'Mapa final'!$AC$9="Moderado"),CONCATENATE("R1C",'Mapa final'!$Q$9),"")</f>
        <v/>
      </c>
      <c r="W46" s="69" t="str">
        <f>IF(AND('Mapa final'!$AA$10="Muy Baja",'Mapa final'!$AC$10="Moderado"),CONCATENATE("R1C",'Mapa final'!$Q$10),"")</f>
        <v/>
      </c>
      <c r="X46" s="52" t="str">
        <f>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IF(AND('Mapa final'!$AA$9="Muy Baja",'Mapa final'!$AC$9="Mayor"),CONCATENATE("R1C",'Mapa final'!$Q$9),"")</f>
        <v/>
      </c>
      <c r="AC46" s="33" t="str">
        <f>IF(AND('Mapa final'!$AA$10="Muy Baja",'Mapa final'!$AC$10="Mayor"),CONCATENATE("R1C",'Mapa final'!$Q$10),"")</f>
        <v/>
      </c>
      <c r="AD46" s="33" t="str">
        <f>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IF(AND('Mapa final'!$AA$9="Muy Baja",'Mapa final'!$AC$9="Catastrófico"),CONCATENATE("R1C",'Mapa final'!$Q$9),"")</f>
        <v/>
      </c>
      <c r="AI46" s="36" t="str">
        <f>IF(AND('Mapa final'!$AA$10="Muy Baja",'Mapa final'!$AC$10="Catastrófico"),CONCATENATE("R1C",'Mapa final'!$Q$10),"")</f>
        <v/>
      </c>
      <c r="AJ46" s="36" t="str">
        <f>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85"/>
      <c r="C47" s="285"/>
      <c r="D47" s="286"/>
      <c r="E47" s="342"/>
      <c r="F47" s="343"/>
      <c r="G47" s="343"/>
      <c r="H47" s="343"/>
      <c r="I47" s="328"/>
      <c r="J47" s="63" t="str">
        <f>IF(AND('Mapa final'!$AA$15="Muy Baja",'Mapa final'!$AC$15="Leve"),CONCATENATE("R2C",'Mapa final'!$Q$15),"")</f>
        <v/>
      </c>
      <c r="K47" s="64" t="str">
        <f>IF(AND('Mapa final'!$AA$16="Muy Baja",'Mapa final'!$AC$16="Leve"),CONCATENATE("R2C",'Mapa final'!$Q$16),"")</f>
        <v/>
      </c>
      <c r="L47" s="64" t="str">
        <f>IF(AND('Mapa final'!$AA$17="Muy Baja",'Mapa final'!$AC$17="Leve"),CONCATENATE("R2C",'Mapa final'!$Q$17),"")</f>
        <v/>
      </c>
      <c r="M47" s="64" t="str">
        <f>IF(AND('Mapa final'!$AA$18="Muy Baja",'Mapa final'!$AC$18="Leve"),CONCATENATE("R2C",'Mapa final'!$Q$18),"")</f>
        <v/>
      </c>
      <c r="N47" s="64" t="str">
        <f>IF(AND('Mapa final'!$AA$19="Muy Baja",'Mapa final'!$AC$19="Leve"),CONCATENATE("R2C",'Mapa final'!$Q$19),"")</f>
        <v/>
      </c>
      <c r="O47" s="65" t="str">
        <f>IF(AND('Mapa final'!$AA$20="Muy Baja",'Mapa final'!$AC$20="Leve"),CONCATENATE("R2C",'Mapa final'!$Q$20),"")</f>
        <v/>
      </c>
      <c r="P47" s="63" t="str">
        <f>IF(AND('Mapa final'!$AA$15="Muy Baja",'Mapa final'!$AC$15="Menor"),CONCATENATE("R2C",'Mapa final'!$Q$15),"")</f>
        <v/>
      </c>
      <c r="Q47" s="64" t="str">
        <f>IF(AND('Mapa final'!$AA$16="Muy Baja",'Mapa final'!$AC$16="Menor"),CONCATENATE("R2C",'Mapa final'!$Q$16),"")</f>
        <v/>
      </c>
      <c r="R47" s="64" t="str">
        <f>IF(AND('Mapa final'!$AA$17="Muy Baja",'Mapa final'!$AC$17="Menor"),CONCATENATE("R2C",'Mapa final'!$Q$17),"")</f>
        <v/>
      </c>
      <c r="S47" s="64" t="str">
        <f>IF(AND('Mapa final'!$AA$18="Muy Baja",'Mapa final'!$AC$18="Menor"),CONCATENATE("R2C",'Mapa final'!$Q$18),"")</f>
        <v/>
      </c>
      <c r="T47" s="64" t="str">
        <f>IF(AND('Mapa final'!$AA$19="Muy Baja",'Mapa final'!$AC$19="Menor"),CONCATENATE("R2C",'Mapa final'!$Q$19),"")</f>
        <v/>
      </c>
      <c r="U47" s="65" t="str">
        <f>IF(AND('Mapa final'!$AA$20="Muy Baja",'Mapa final'!$AC$20="Menor"),CONCATENATE("R2C",'Mapa final'!$Q$20),"")</f>
        <v/>
      </c>
      <c r="V47" s="54" t="str">
        <f>IF(AND('Mapa final'!$AA$15="Muy Baja",'Mapa final'!$AC$15="Moderado"),CONCATENATE("R2C",'Mapa final'!$Q$15),"")</f>
        <v/>
      </c>
      <c r="W47" s="55" t="str">
        <f>IF(AND('Mapa final'!$AA$16="Muy Baja",'Mapa final'!$AC$16="Moderado"),CONCATENATE("R2C",'Mapa final'!$Q$16),"")</f>
        <v/>
      </c>
      <c r="X47" s="55" t="str">
        <f>IF(AND('Mapa final'!$AA$17="Muy Baja",'Mapa final'!$AC$17="Moderado"),CONCATENATE("R2C",'Mapa final'!$Q$17),"")</f>
        <v/>
      </c>
      <c r="Y47" s="55" t="str">
        <f>IF(AND('Mapa final'!$AA$18="Muy Baja",'Mapa final'!$AC$18="Moderado"),CONCATENATE("R2C",'Mapa final'!$Q$18),"")</f>
        <v/>
      </c>
      <c r="Z47" s="55" t="str">
        <f>IF(AND('Mapa final'!$AA$19="Muy Baja",'Mapa final'!$AC$19="Moderado"),CONCATENATE("R2C",'Mapa final'!$Q$19),"")</f>
        <v/>
      </c>
      <c r="AA47" s="56" t="str">
        <f>IF(AND('Mapa final'!$AA$20="Muy Baja",'Mapa final'!$AC$20="Moderado"),CONCATENATE("R2C",'Mapa final'!$Q$20),"")</f>
        <v/>
      </c>
      <c r="AB47" s="38" t="str">
        <f>IF(AND('Mapa final'!$AA$15="Muy Baja",'Mapa final'!$AC$15="Mayor"),CONCATENATE("R2C",'Mapa final'!$Q$15),"")</f>
        <v/>
      </c>
      <c r="AC47" s="39" t="str">
        <f>IF(AND('Mapa final'!$AA$16="Muy Baja",'Mapa final'!$AC$16="Mayor"),CONCATENATE("R2C",'Mapa final'!$Q$16),"")</f>
        <v/>
      </c>
      <c r="AD47" s="39" t="str">
        <f>IF(AND('Mapa final'!$AA$17="Muy Baja",'Mapa final'!$AC$17="Mayor"),CONCATENATE("R2C",'Mapa final'!$Q$17),"")</f>
        <v/>
      </c>
      <c r="AE47" s="39" t="str">
        <f>IF(AND('Mapa final'!$AA$18="Muy Baja",'Mapa final'!$AC$18="Mayor"),CONCATENATE("R2C",'Mapa final'!$Q$18),"")</f>
        <v/>
      </c>
      <c r="AF47" s="39" t="str">
        <f>IF(AND('Mapa final'!$AA$19="Muy Baja",'Mapa final'!$AC$19="Mayor"),CONCATENATE("R2C",'Mapa final'!$Q$19),"")</f>
        <v/>
      </c>
      <c r="AG47" s="40" t="str">
        <f>IF(AND('Mapa final'!$AA$20="Muy Baja",'Mapa final'!$AC$20="Mayor"),CONCATENATE("R2C",'Mapa final'!$Q$20),"")</f>
        <v/>
      </c>
      <c r="AH47" s="41" t="str">
        <f>IF(AND('Mapa final'!$AA$15="Muy Baja",'Mapa final'!$AC$15="Catastrófico"),CONCATENATE("R2C",'Mapa final'!$Q$15),"")</f>
        <v/>
      </c>
      <c r="AI47" s="42" t="str">
        <f>IF(AND('Mapa final'!$AA$16="Muy Baja",'Mapa final'!$AC$16="Catastrófico"),CONCATENATE("R2C",'Mapa final'!$Q$16),"")</f>
        <v/>
      </c>
      <c r="AJ47" s="42" t="str">
        <f>IF(AND('Mapa final'!$AA$17="Muy Baja",'Mapa final'!$AC$17="Catastrófico"),CONCATENATE("R2C",'Mapa final'!$Q$17),"")</f>
        <v/>
      </c>
      <c r="AK47" s="42" t="str">
        <f>IF(AND('Mapa final'!$AA$18="Muy Baja",'Mapa final'!$AC$18="Catastrófico"),CONCATENATE("R2C",'Mapa final'!$Q$18),"")</f>
        <v/>
      </c>
      <c r="AL47" s="42" t="str">
        <f>IF(AND('Mapa final'!$AA$19="Muy Baja",'Mapa final'!$AC$19="Catastrófico"),CONCATENATE("R2C",'Mapa final'!$Q$19),"")</f>
        <v/>
      </c>
      <c r="AM47" s="43" t="str">
        <f>IF(AND('Mapa final'!$AA$20="Muy Baja",'Mapa final'!$AC$20="Catastrófico"),CONCATENATE("R2C",'Mapa final'!$Q$20),"")</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85"/>
      <c r="C48" s="285"/>
      <c r="D48" s="286"/>
      <c r="E48" s="342"/>
      <c r="F48" s="343"/>
      <c r="G48" s="343"/>
      <c r="H48" s="343"/>
      <c r="I48" s="328"/>
      <c r="J48" s="63" t="str">
        <f>IF(AND('Mapa final'!$AA$21="Muy Baja",'Mapa final'!$AC$21="Leve"),CONCATENATE("R3C",'Mapa final'!$Q$21),"")</f>
        <v/>
      </c>
      <c r="K48" s="64" t="str">
        <f>IF(AND('Mapa final'!$AA$22="Muy Baja",'Mapa final'!$AC$22="Leve"),CONCATENATE("R3C",'Mapa final'!$Q$22),"")</f>
        <v/>
      </c>
      <c r="L48" s="64" t="str">
        <f>IF(AND('Mapa final'!$AA$23="Muy Baja",'Mapa final'!$AC$23="Leve"),CONCATENATE("R3C",'Mapa final'!$Q$23),"")</f>
        <v/>
      </c>
      <c r="M48" s="64" t="str">
        <f>IF(AND('Mapa final'!$AA$24="Muy Baja",'Mapa final'!$AC$24="Leve"),CONCATENATE("R3C",'Mapa final'!$Q$24),"")</f>
        <v/>
      </c>
      <c r="N48" s="64" t="str">
        <f>IF(AND('Mapa final'!$AA$25="Muy Baja",'Mapa final'!$AC$25="Leve"),CONCATENATE("R3C",'Mapa final'!$Q$25),"")</f>
        <v/>
      </c>
      <c r="O48" s="65" t="str">
        <f>IF(AND('Mapa final'!$AA$26="Muy Baja",'Mapa final'!$AC$26="Leve"),CONCATENATE("R3C",'Mapa final'!$Q$26),"")</f>
        <v/>
      </c>
      <c r="P48" s="63" t="str">
        <f>IF(AND('Mapa final'!$AA$21="Muy Baja",'Mapa final'!$AC$21="Menor"),CONCATENATE("R3C",'Mapa final'!$Q$21),"")</f>
        <v/>
      </c>
      <c r="Q48" s="64" t="str">
        <f>IF(AND('Mapa final'!$AA$22="Muy Baja",'Mapa final'!$AC$22="Menor"),CONCATENATE("R3C",'Mapa final'!$Q$22),"")</f>
        <v/>
      </c>
      <c r="R48" s="64" t="str">
        <f>IF(AND('Mapa final'!$AA$23="Muy Baja",'Mapa final'!$AC$23="Menor"),CONCATENATE("R3C",'Mapa final'!$Q$23),"")</f>
        <v/>
      </c>
      <c r="S48" s="64" t="str">
        <f>IF(AND('Mapa final'!$AA$24="Muy Baja",'Mapa final'!$AC$24="Menor"),CONCATENATE("R3C",'Mapa final'!$Q$24),"")</f>
        <v/>
      </c>
      <c r="T48" s="64" t="str">
        <f>IF(AND('Mapa final'!$AA$25="Muy Baja",'Mapa final'!$AC$25="Menor"),CONCATENATE("R3C",'Mapa final'!$Q$25),"")</f>
        <v/>
      </c>
      <c r="U48" s="65" t="str">
        <f>IF(AND('Mapa final'!$AA$26="Muy Baja",'Mapa final'!$AC$26="Menor"),CONCATENATE("R3C",'Mapa final'!$Q$26),"")</f>
        <v/>
      </c>
      <c r="V48" s="54" t="str">
        <f>IF(AND('Mapa final'!$AA$21="Muy Baja",'Mapa final'!$AC$21="Moderado"),CONCATENATE("R3C",'Mapa final'!$Q$21),"")</f>
        <v/>
      </c>
      <c r="W48" s="55" t="str">
        <f>IF(AND('Mapa final'!$AA$22="Muy Baja",'Mapa final'!$AC$22="Moderado"),CONCATENATE("R3C",'Mapa final'!$Q$22),"")</f>
        <v/>
      </c>
      <c r="X48" s="55" t="str">
        <f>IF(AND('Mapa final'!$AA$23="Muy Baja",'Mapa final'!$AC$23="Moderado"),CONCATENATE("R3C",'Mapa final'!$Q$23),"")</f>
        <v/>
      </c>
      <c r="Y48" s="55" t="str">
        <f>IF(AND('Mapa final'!$AA$24="Muy Baja",'Mapa final'!$AC$24="Moderado"),CONCATENATE("R3C",'Mapa final'!$Q$24),"")</f>
        <v/>
      </c>
      <c r="Z48" s="55" t="str">
        <f>IF(AND('Mapa final'!$AA$25="Muy Baja",'Mapa final'!$AC$25="Moderado"),CONCATENATE("R3C",'Mapa final'!$Q$25),"")</f>
        <v/>
      </c>
      <c r="AA48" s="56" t="str">
        <f>IF(AND('Mapa final'!$AA$26="Muy Baja",'Mapa final'!$AC$26="Moderado"),CONCATENATE("R3C",'Mapa final'!$Q$26),"")</f>
        <v/>
      </c>
      <c r="AB48" s="38" t="str">
        <f>IF(AND('Mapa final'!$AA$21="Muy Baja",'Mapa final'!$AC$21="Mayor"),CONCATENATE("R3C",'Mapa final'!$Q$21),"")</f>
        <v/>
      </c>
      <c r="AC48" s="39" t="str">
        <f>IF(AND('Mapa final'!$AA$22="Muy Baja",'Mapa final'!$AC$22="Mayor"),CONCATENATE("R3C",'Mapa final'!$Q$22),"")</f>
        <v/>
      </c>
      <c r="AD48" s="39" t="str">
        <f>IF(AND('Mapa final'!$AA$23="Muy Baja",'Mapa final'!$AC$23="Mayor"),CONCATENATE("R3C",'Mapa final'!$Q$23),"")</f>
        <v/>
      </c>
      <c r="AE48" s="39" t="str">
        <f>IF(AND('Mapa final'!$AA$24="Muy Baja",'Mapa final'!$AC$24="Mayor"),CONCATENATE("R3C",'Mapa final'!$Q$24),"")</f>
        <v/>
      </c>
      <c r="AF48" s="39" t="str">
        <f>IF(AND('Mapa final'!$AA$25="Muy Baja",'Mapa final'!$AC$25="Mayor"),CONCATENATE("R3C",'Mapa final'!$Q$25),"")</f>
        <v/>
      </c>
      <c r="AG48" s="40" t="str">
        <f>IF(AND('Mapa final'!$AA$26="Muy Baja",'Mapa final'!$AC$26="Mayor"),CONCATENATE("R3C",'Mapa final'!$Q$26),"")</f>
        <v/>
      </c>
      <c r="AH48" s="41" t="str">
        <f>IF(AND('Mapa final'!$AA$21="Muy Baja",'Mapa final'!$AC$21="Catastrófico"),CONCATENATE("R3C",'Mapa final'!$Q$21),"")</f>
        <v/>
      </c>
      <c r="AI48" s="42" t="str">
        <f>IF(AND('Mapa final'!$AA$22="Muy Baja",'Mapa final'!$AC$22="Catastrófico"),CONCATENATE("R3C",'Mapa final'!$Q$22),"")</f>
        <v/>
      </c>
      <c r="AJ48" s="42" t="str">
        <f>IF(AND('Mapa final'!$AA$23="Muy Baja",'Mapa final'!$AC$23="Catastrófico"),CONCATENATE("R3C",'Mapa final'!$Q$23),"")</f>
        <v/>
      </c>
      <c r="AK48" s="42" t="str">
        <f>IF(AND('Mapa final'!$AA$24="Muy Baja",'Mapa final'!$AC$24="Catastrófico"),CONCATENATE("R3C",'Mapa final'!$Q$24),"")</f>
        <v/>
      </c>
      <c r="AL48" s="42" t="str">
        <f>IF(AND('Mapa final'!$AA$25="Muy Baja",'Mapa final'!$AC$25="Catastrófico"),CONCATENATE("R3C",'Mapa final'!$Q$25),"")</f>
        <v/>
      </c>
      <c r="AM48" s="43" t="str">
        <f>IF(AND('Mapa final'!$AA$26="Muy Baja",'Mapa final'!$AC$26="Catastrófico"),CONCATENATE("R3C",'Mapa final'!$Q$26),"")</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85"/>
      <c r="C49" s="285"/>
      <c r="D49" s="286"/>
      <c r="E49" s="326"/>
      <c r="F49" s="327"/>
      <c r="G49" s="327"/>
      <c r="H49" s="327"/>
      <c r="I49" s="328"/>
      <c r="J49" s="63" t="str">
        <f>IF(AND('Mapa final'!$AA$27="Muy Baja",'Mapa final'!$AC$27="Leve"),CONCATENATE("R4C",'Mapa final'!$Q$27),"")</f>
        <v/>
      </c>
      <c r="K49" s="64" t="str">
        <f>IF(AND('Mapa final'!$AA$28="Muy Baja",'Mapa final'!$AC$28="Leve"),CONCATENATE("R4C",'Mapa final'!$Q$28),"")</f>
        <v/>
      </c>
      <c r="L49" s="64" t="str">
        <f>IF(AND('Mapa final'!$AA$29="Muy Baja",'Mapa final'!$AC$29="Leve"),CONCATENATE("R4C",'Mapa final'!$Q$29),"")</f>
        <v/>
      </c>
      <c r="M49" s="64" t="str">
        <f>IF(AND('Mapa final'!$AA$30="Muy Baja",'Mapa final'!$AC$30="Leve"),CONCATENATE("R4C",'Mapa final'!$Q$30),"")</f>
        <v/>
      </c>
      <c r="N49" s="64" t="str">
        <f>IF(AND('Mapa final'!$AA$31="Muy Baja",'Mapa final'!$AC$31="Leve"),CONCATENATE("R4C",'Mapa final'!$Q$31),"")</f>
        <v/>
      </c>
      <c r="O49" s="65" t="str">
        <f>IF(AND('Mapa final'!$AA$32="Muy Baja",'Mapa final'!$AC$32="Leve"),CONCATENATE("R4C",'Mapa final'!$Q$32),"")</f>
        <v/>
      </c>
      <c r="P49" s="63" t="str">
        <f>IF(AND('Mapa final'!$AA$27="Muy Baja",'Mapa final'!$AC$27="Menor"),CONCATENATE("R4C",'Mapa final'!$Q$27),"")</f>
        <v/>
      </c>
      <c r="Q49" s="64" t="str">
        <f>IF(AND('Mapa final'!$AA$28="Muy Baja",'Mapa final'!$AC$28="Menor"),CONCATENATE("R4C",'Mapa final'!$Q$28),"")</f>
        <v/>
      </c>
      <c r="R49" s="64" t="str">
        <f>IF(AND('Mapa final'!$AA$29="Muy Baja",'Mapa final'!$AC$29="Menor"),CONCATENATE("R4C",'Mapa final'!$Q$29),"")</f>
        <v/>
      </c>
      <c r="S49" s="64" t="str">
        <f>IF(AND('Mapa final'!$AA$30="Muy Baja",'Mapa final'!$AC$30="Menor"),CONCATENATE("R4C",'Mapa final'!$Q$30),"")</f>
        <v/>
      </c>
      <c r="T49" s="64" t="str">
        <f>IF(AND('Mapa final'!$AA$31="Muy Baja",'Mapa final'!$AC$31="Menor"),CONCATENATE("R4C",'Mapa final'!$Q$31),"")</f>
        <v/>
      </c>
      <c r="U49" s="65" t="str">
        <f>IF(AND('Mapa final'!$AA$32="Muy Baja",'Mapa final'!$AC$32="Menor"),CONCATENATE("R4C",'Mapa final'!$Q$32),"")</f>
        <v/>
      </c>
      <c r="V49" s="54" t="str">
        <f>IF(AND('Mapa final'!$AA$27="Muy Baja",'Mapa final'!$AC$27="Moderado"),CONCATENATE("R4C",'Mapa final'!$Q$27),"")</f>
        <v/>
      </c>
      <c r="W49" s="55" t="str">
        <f>IF(AND('Mapa final'!$AA$28="Muy Baja",'Mapa final'!$AC$28="Moderado"),CONCATENATE("R4C",'Mapa final'!$Q$28),"")</f>
        <v/>
      </c>
      <c r="X49" s="55" t="str">
        <f>IF(AND('Mapa final'!$AA$29="Muy Baja",'Mapa final'!$AC$29="Moderado"),CONCATENATE("R4C",'Mapa final'!$Q$29),"")</f>
        <v/>
      </c>
      <c r="Y49" s="55" t="str">
        <f>IF(AND('Mapa final'!$AA$30="Muy Baja",'Mapa final'!$AC$30="Moderado"),CONCATENATE("R4C",'Mapa final'!$Q$30),"")</f>
        <v/>
      </c>
      <c r="Z49" s="55" t="str">
        <f>IF(AND('Mapa final'!$AA$31="Muy Baja",'Mapa final'!$AC$31="Moderado"),CONCATENATE("R4C",'Mapa final'!$Q$31),"")</f>
        <v/>
      </c>
      <c r="AA49" s="56" t="str">
        <f>IF(AND('Mapa final'!$AA$32="Muy Baja",'Mapa final'!$AC$32="Moderado"),CONCATENATE("R4C",'Mapa final'!$Q$32),"")</f>
        <v/>
      </c>
      <c r="AB49" s="38" t="str">
        <f>IF(AND('Mapa final'!$AA$27="Muy Baja",'Mapa final'!$AC$27="Mayor"),CONCATENATE("R4C",'Mapa final'!$Q$27),"")</f>
        <v/>
      </c>
      <c r="AC49" s="39" t="str">
        <f>IF(AND('Mapa final'!$AA$28="Muy Baja",'Mapa final'!$AC$28="Mayor"),CONCATENATE("R4C",'Mapa final'!$Q$28),"")</f>
        <v/>
      </c>
      <c r="AD49" s="39" t="str">
        <f>IF(AND('Mapa final'!$AA$29="Muy Baja",'Mapa final'!$AC$29="Mayor"),CONCATENATE("R4C",'Mapa final'!$Q$29),"")</f>
        <v/>
      </c>
      <c r="AE49" s="39" t="str">
        <f>IF(AND('Mapa final'!$AA$30="Muy Baja",'Mapa final'!$AC$30="Mayor"),CONCATENATE("R4C",'Mapa final'!$Q$30),"")</f>
        <v/>
      </c>
      <c r="AF49" s="39" t="str">
        <f>IF(AND('Mapa final'!$AA$31="Muy Baja",'Mapa final'!$AC$31="Mayor"),CONCATENATE("R4C",'Mapa final'!$Q$31),"")</f>
        <v/>
      </c>
      <c r="AG49" s="40" t="str">
        <f>IF(AND('Mapa final'!$AA$32="Muy Baja",'Mapa final'!$AC$32="Mayor"),CONCATENATE("R4C",'Mapa final'!$Q$32),"")</f>
        <v/>
      </c>
      <c r="AH49" s="41" t="str">
        <f>IF(AND('Mapa final'!$AA$27="Muy Baja",'Mapa final'!$AC$27="Catastrófico"),CONCATENATE("R4C",'Mapa final'!$Q$27),"")</f>
        <v/>
      </c>
      <c r="AI49" s="42" t="str">
        <f>IF(AND('Mapa final'!$AA$28="Muy Baja",'Mapa final'!$AC$28="Catastrófico"),CONCATENATE("R4C",'Mapa final'!$Q$28),"")</f>
        <v/>
      </c>
      <c r="AJ49" s="42" t="str">
        <f>IF(AND('Mapa final'!$AA$29="Muy Baja",'Mapa final'!$AC$29="Catastrófico"),CONCATENATE("R4C",'Mapa final'!$Q$29),"")</f>
        <v/>
      </c>
      <c r="AK49" s="42" t="str">
        <f>IF(AND('Mapa final'!$AA$30="Muy Baja",'Mapa final'!$AC$30="Catastrófico"),CONCATENATE("R4C",'Mapa final'!$Q$30),"")</f>
        <v/>
      </c>
      <c r="AL49" s="42" t="str">
        <f>IF(AND('Mapa final'!$AA$31="Muy Baja",'Mapa final'!$AC$31="Catastrófico"),CONCATENATE("R4C",'Mapa final'!$Q$31),"")</f>
        <v/>
      </c>
      <c r="AM49" s="43" t="str">
        <f>IF(AND('Mapa final'!$AA$32="Muy Baja",'Mapa final'!$AC$32="Catastrófico"),CONCATENATE("R4C",'Mapa final'!$Q$32),"")</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85"/>
      <c r="C50" s="285"/>
      <c r="D50" s="286"/>
      <c r="E50" s="326"/>
      <c r="F50" s="327"/>
      <c r="G50" s="327"/>
      <c r="H50" s="327"/>
      <c r="I50" s="328"/>
      <c r="J50" s="63" t="str">
        <f>IF(AND('Mapa final'!$AA$39="Muy Baja",'Mapa final'!$AC$39="Leve"),CONCATENATE("R5C",'Mapa final'!$Q$39),"")</f>
        <v/>
      </c>
      <c r="K50" s="64" t="str">
        <f>IF(AND('Mapa final'!$AA$40="Muy Baja",'Mapa final'!$AC$40="Leve"),CONCATENATE("R5C",'Mapa final'!$Q$40),"")</f>
        <v/>
      </c>
      <c r="L50" s="64" t="str">
        <f>IF(AND('Mapa final'!$AA$41="Muy Baja",'Mapa final'!$AC$41="Leve"),CONCATENATE("R5C",'Mapa final'!$Q$41),"")</f>
        <v/>
      </c>
      <c r="M50" s="64" t="str">
        <f>IF(AND('Mapa final'!$AA$42="Muy Baja",'Mapa final'!$AC$42="Leve"),CONCATENATE("R5C",'Mapa final'!$Q$42),"")</f>
        <v/>
      </c>
      <c r="N50" s="64" t="str">
        <f>IF(AND('Mapa final'!$AA$43="Muy Baja",'Mapa final'!$AC$43="Leve"),CONCATENATE("R5C",'Mapa final'!$Q$43),"")</f>
        <v/>
      </c>
      <c r="O50" s="65" t="str">
        <f>IF(AND('Mapa final'!$AA$44="Muy Baja",'Mapa final'!$AC$44="Leve"),CONCATENATE("R5C",'Mapa final'!$Q$44),"")</f>
        <v/>
      </c>
      <c r="P50" s="63" t="str">
        <f>IF(AND('Mapa final'!$AA$39="Muy Baja",'Mapa final'!$AC$39="Menor"),CONCATENATE("R5C",'Mapa final'!$Q$39),"")</f>
        <v/>
      </c>
      <c r="Q50" s="64" t="str">
        <f>IF(AND('Mapa final'!$AA$40="Muy Baja",'Mapa final'!$AC$40="Menor"),CONCATENATE("R5C",'Mapa final'!$Q$40),"")</f>
        <v/>
      </c>
      <c r="R50" s="64" t="str">
        <f>IF(AND('Mapa final'!$AA$41="Muy Baja",'Mapa final'!$AC$41="Menor"),CONCATENATE("R5C",'Mapa final'!$Q$41),"")</f>
        <v/>
      </c>
      <c r="S50" s="64" t="str">
        <f>IF(AND('Mapa final'!$AA$42="Muy Baja",'Mapa final'!$AC$42="Menor"),CONCATENATE("R5C",'Mapa final'!$Q$42),"")</f>
        <v/>
      </c>
      <c r="T50" s="64" t="str">
        <f>IF(AND('Mapa final'!$AA$43="Muy Baja",'Mapa final'!$AC$43="Menor"),CONCATENATE("R5C",'Mapa final'!$Q$43),"")</f>
        <v/>
      </c>
      <c r="U50" s="65" t="str">
        <f>IF(AND('Mapa final'!$AA$44="Muy Baja",'Mapa final'!$AC$44="Menor"),CONCATENATE("R5C",'Mapa final'!$Q$44),"")</f>
        <v/>
      </c>
      <c r="V50" s="54" t="str">
        <f>IF(AND('Mapa final'!$AA$39="Muy Baja",'Mapa final'!$AC$39="Moderado"),CONCATENATE("R5C",'Mapa final'!$Q$39),"")</f>
        <v/>
      </c>
      <c r="W50" s="55" t="str">
        <f>IF(AND('Mapa final'!$AA$40="Muy Baja",'Mapa final'!$AC$40="Moderado"),CONCATENATE("R5C",'Mapa final'!$Q$40),"")</f>
        <v/>
      </c>
      <c r="X50" s="55" t="str">
        <f>IF(AND('Mapa final'!$AA$41="Muy Baja",'Mapa final'!$AC$41="Moderado"),CONCATENATE("R5C",'Mapa final'!$Q$41),"")</f>
        <v/>
      </c>
      <c r="Y50" s="55" t="str">
        <f>IF(AND('Mapa final'!$AA$42="Muy Baja",'Mapa final'!$AC$42="Moderado"),CONCATENATE("R5C",'Mapa final'!$Q$42),"")</f>
        <v/>
      </c>
      <c r="Z50" s="55" t="str">
        <f>IF(AND('Mapa final'!$AA$43="Muy Baja",'Mapa final'!$AC$43="Moderado"),CONCATENATE("R5C",'Mapa final'!$Q$43),"")</f>
        <v/>
      </c>
      <c r="AA50" s="56" t="str">
        <f>IF(AND('Mapa final'!$AA$44="Muy Baja",'Mapa final'!$AC$44="Moderado"),CONCATENATE("R5C",'Mapa final'!$Q$44),"")</f>
        <v/>
      </c>
      <c r="AB50" s="38" t="str">
        <f>IF(AND('Mapa final'!$AA$39="Muy Baja",'Mapa final'!$AC$39="Mayor"),CONCATENATE("R5C",'Mapa final'!$Q$39),"")</f>
        <v/>
      </c>
      <c r="AC50" s="39" t="str">
        <f>IF(AND('Mapa final'!$AA$40="Muy Baja",'Mapa final'!$AC$40="Mayor"),CONCATENATE("R5C",'Mapa final'!$Q$40),"")</f>
        <v/>
      </c>
      <c r="AD50" s="44" t="str">
        <f>IF(AND('Mapa final'!$AA$41="Muy Baja",'Mapa final'!$AC$41="Mayor"),CONCATENATE("R5C",'Mapa final'!$Q$41),"")</f>
        <v/>
      </c>
      <c r="AE50" s="44" t="str">
        <f>IF(AND('Mapa final'!$AA$42="Muy Baja",'Mapa final'!$AC$42="Mayor"),CONCATENATE("R5C",'Mapa final'!$Q$42),"")</f>
        <v/>
      </c>
      <c r="AF50" s="44" t="str">
        <f>IF(AND('Mapa final'!$AA$43="Muy Baja",'Mapa final'!$AC$43="Mayor"),CONCATENATE("R5C",'Mapa final'!$Q$43),"")</f>
        <v/>
      </c>
      <c r="AG50" s="40" t="str">
        <f>IF(AND('Mapa final'!$AA$44="Muy Baja",'Mapa final'!$AC$44="Mayor"),CONCATENATE("R5C",'Mapa final'!$Q$44),"")</f>
        <v/>
      </c>
      <c r="AH50" s="41" t="str">
        <f>IF(AND('Mapa final'!$AA$39="Muy Baja",'Mapa final'!$AC$39="Catastrófico"),CONCATENATE("R5C",'Mapa final'!$Q$39),"")</f>
        <v/>
      </c>
      <c r="AI50" s="42" t="str">
        <f>IF(AND('Mapa final'!$AA$40="Muy Baja",'Mapa final'!$AC$40="Catastrófico"),CONCATENATE("R5C",'Mapa final'!$Q$40),"")</f>
        <v/>
      </c>
      <c r="AJ50" s="42" t="str">
        <f>IF(AND('Mapa final'!$AA$41="Muy Baja",'Mapa final'!$AC$41="Catastrófico"),CONCATENATE("R5C",'Mapa final'!$Q$41),"")</f>
        <v/>
      </c>
      <c r="AK50" s="42" t="str">
        <f>IF(AND('Mapa final'!$AA$42="Muy Baja",'Mapa final'!$AC$42="Catastrófico"),CONCATENATE("R5C",'Mapa final'!$Q$42),"")</f>
        <v/>
      </c>
      <c r="AL50" s="42" t="str">
        <f>IF(AND('Mapa final'!$AA$43="Muy Baja",'Mapa final'!$AC$43="Catastrófico"),CONCATENATE("R5C",'Mapa final'!$Q$43),"")</f>
        <v/>
      </c>
      <c r="AM50" s="43" t="str">
        <f>IF(AND('Mapa final'!$AA$44="Muy Baja",'Mapa final'!$AC$44="Catastrófico"),CONCATENATE("R5C",'Mapa final'!$Q$44),"")</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85"/>
      <c r="C51" s="285"/>
      <c r="D51" s="286"/>
      <c r="E51" s="326"/>
      <c r="F51" s="327"/>
      <c r="G51" s="327"/>
      <c r="H51" s="327"/>
      <c r="I51" s="328"/>
      <c r="J51" s="63" t="str">
        <f>IF(AND('Mapa final'!$AA$45="Muy Baja",'Mapa final'!$AC$45="Leve"),CONCATENATE("R6C",'Mapa final'!$Q$45),"")</f>
        <v/>
      </c>
      <c r="K51" s="64" t="str">
        <f>IF(AND('Mapa final'!$AA$46="Muy Baja",'Mapa final'!$AC$46="Leve"),CONCATENATE("R6C",'Mapa final'!$Q$46),"")</f>
        <v/>
      </c>
      <c r="L51" s="64" t="str">
        <f>IF(AND('Mapa final'!$AA$47="Muy Baja",'Mapa final'!$AC$47="Leve"),CONCATENATE("R6C",'Mapa final'!$Q$47),"")</f>
        <v/>
      </c>
      <c r="M51" s="64" t="str">
        <f>IF(AND('Mapa final'!$AA$48="Muy Baja",'Mapa final'!$AC$48="Leve"),CONCATENATE("R6C",'Mapa final'!$Q$48),"")</f>
        <v/>
      </c>
      <c r="N51" s="64" t="str">
        <f>IF(AND('Mapa final'!$AA$49="Muy Baja",'Mapa final'!$AC$49="Leve"),CONCATENATE("R6C",'Mapa final'!$Q$49),"")</f>
        <v/>
      </c>
      <c r="O51" s="65" t="str">
        <f>IF(AND('Mapa final'!$AA$50="Muy Baja",'Mapa final'!$AC$50="Leve"),CONCATENATE("R6C",'Mapa final'!$Q$50),"")</f>
        <v/>
      </c>
      <c r="P51" s="63" t="str">
        <f>IF(AND('Mapa final'!$AA$45="Muy Baja",'Mapa final'!$AC$45="Menor"),CONCATENATE("R6C",'Mapa final'!$Q$45),"")</f>
        <v/>
      </c>
      <c r="Q51" s="64" t="str">
        <f>IF(AND('Mapa final'!$AA$46="Muy Baja",'Mapa final'!$AC$46="Menor"),CONCATENATE("R6C",'Mapa final'!$Q$46),"")</f>
        <v/>
      </c>
      <c r="R51" s="64" t="str">
        <f>IF(AND('Mapa final'!$AA$47="Muy Baja",'Mapa final'!$AC$47="Menor"),CONCATENATE("R6C",'Mapa final'!$Q$47),"")</f>
        <v/>
      </c>
      <c r="S51" s="64" t="str">
        <f>IF(AND('Mapa final'!$AA$48="Muy Baja",'Mapa final'!$AC$48="Menor"),CONCATENATE("R6C",'Mapa final'!$Q$48),"")</f>
        <v/>
      </c>
      <c r="T51" s="64" t="str">
        <f>IF(AND('Mapa final'!$AA$49="Muy Baja",'Mapa final'!$AC$49="Menor"),CONCATENATE("R6C",'Mapa final'!$Q$49),"")</f>
        <v/>
      </c>
      <c r="U51" s="65" t="str">
        <f>IF(AND('Mapa final'!$AA$50="Muy Baja",'Mapa final'!$AC$50="Menor"),CONCATENATE("R6C",'Mapa final'!$Q$50),"")</f>
        <v/>
      </c>
      <c r="V51" s="54" t="str">
        <f>IF(AND('Mapa final'!$AA$45="Muy Baja",'Mapa final'!$AC$45="Moderado"),CONCATENATE("R6C",'Mapa final'!$Q$45),"")</f>
        <v/>
      </c>
      <c r="W51" s="55" t="str">
        <f>IF(AND('Mapa final'!$AA$46="Muy Baja",'Mapa final'!$AC$46="Moderado"),CONCATENATE("R6C",'Mapa final'!$Q$46),"")</f>
        <v/>
      </c>
      <c r="X51" s="55" t="str">
        <f>IF(AND('Mapa final'!$AA$47="Muy Baja",'Mapa final'!$AC$47="Moderado"),CONCATENATE("R6C",'Mapa final'!$Q$47),"")</f>
        <v/>
      </c>
      <c r="Y51" s="55" t="str">
        <f>IF(AND('Mapa final'!$AA$48="Muy Baja",'Mapa final'!$AC$48="Moderado"),CONCATENATE("R6C",'Mapa final'!$Q$48),"")</f>
        <v/>
      </c>
      <c r="Z51" s="55" t="str">
        <f>IF(AND('Mapa final'!$AA$49="Muy Baja",'Mapa final'!$AC$49="Moderado"),CONCATENATE("R6C",'Mapa final'!$Q$49),"")</f>
        <v/>
      </c>
      <c r="AA51" s="56" t="str">
        <f>IF(AND('Mapa final'!$AA$50="Muy Baja",'Mapa final'!$AC$50="Moderado"),CONCATENATE("R6C",'Mapa final'!$Q$50),"")</f>
        <v/>
      </c>
      <c r="AB51" s="38" t="str">
        <f>IF(AND('Mapa final'!$AA$45="Muy Baja",'Mapa final'!$AC$45="Mayor"),CONCATENATE("R6C",'Mapa final'!$Q$45),"")</f>
        <v/>
      </c>
      <c r="AC51" s="39" t="str">
        <f>IF(AND('Mapa final'!$AA$46="Muy Baja",'Mapa final'!$AC$46="Mayor"),CONCATENATE("R6C",'Mapa final'!$Q$46),"")</f>
        <v/>
      </c>
      <c r="AD51" s="44" t="str">
        <f>IF(AND('Mapa final'!$AA$47="Muy Baja",'Mapa final'!$AC$47="Mayor"),CONCATENATE("R6C",'Mapa final'!$Q$47),"")</f>
        <v/>
      </c>
      <c r="AE51" s="44" t="str">
        <f>IF(AND('Mapa final'!$AA$48="Muy Baja",'Mapa final'!$AC$48="Mayor"),CONCATENATE("R6C",'Mapa final'!$Q$48),"")</f>
        <v/>
      </c>
      <c r="AF51" s="44" t="str">
        <f>IF(AND('Mapa final'!$AA$49="Muy Baja",'Mapa final'!$AC$49="Mayor"),CONCATENATE("R6C",'Mapa final'!$Q$49),"")</f>
        <v/>
      </c>
      <c r="AG51" s="40" t="str">
        <f>IF(AND('Mapa final'!$AA$50="Muy Baja",'Mapa final'!$AC$50="Mayor"),CONCATENATE("R6C",'Mapa final'!$Q$50),"")</f>
        <v/>
      </c>
      <c r="AH51" s="41" t="str">
        <f>IF(AND('Mapa final'!$AA$45="Muy Baja",'Mapa final'!$AC$45="Catastrófico"),CONCATENATE("R6C",'Mapa final'!$Q$45),"")</f>
        <v/>
      </c>
      <c r="AI51" s="42" t="str">
        <f>IF(AND('Mapa final'!$AA$46="Muy Baja",'Mapa final'!$AC$46="Catastrófico"),CONCATENATE("R6C",'Mapa final'!$Q$46),"")</f>
        <v/>
      </c>
      <c r="AJ51" s="42" t="str">
        <f>IF(AND('Mapa final'!$AA$47="Muy Baja",'Mapa final'!$AC$47="Catastrófico"),CONCATENATE("R6C",'Mapa final'!$Q$47),"")</f>
        <v/>
      </c>
      <c r="AK51" s="42" t="str">
        <f>IF(AND('Mapa final'!$AA$48="Muy Baja",'Mapa final'!$AC$48="Catastrófico"),CONCATENATE("R6C",'Mapa final'!$Q$48),"")</f>
        <v/>
      </c>
      <c r="AL51" s="42" t="str">
        <f>IF(AND('Mapa final'!$AA$49="Muy Baja",'Mapa final'!$AC$49="Catastrófico"),CONCATENATE("R6C",'Mapa final'!$Q$49),"")</f>
        <v/>
      </c>
      <c r="AM51" s="43" t="str">
        <f>IF(AND('Mapa final'!$AA$50="Muy Baja",'Mapa final'!$AC$50="Catastrófico"),CONCATENATE("R6C",'Mapa final'!$Q$50),"")</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85"/>
      <c r="C52" s="285"/>
      <c r="D52" s="286"/>
      <c r="E52" s="326"/>
      <c r="F52" s="327"/>
      <c r="G52" s="327"/>
      <c r="H52" s="327"/>
      <c r="I52" s="328"/>
      <c r="J52" s="63" t="str">
        <f>IF(AND('Mapa final'!$AA$51="Muy Baja",'Mapa final'!$AC$51="Leve"),CONCATENATE("R7C",'Mapa final'!$Q$51),"")</f>
        <v/>
      </c>
      <c r="K52" s="64" t="str">
        <f>IF(AND('Mapa final'!$AA$52="Muy Baja",'Mapa final'!$AC$52="Leve"),CONCATENATE("R7C",'Mapa final'!$Q$52),"")</f>
        <v/>
      </c>
      <c r="L52" s="64" t="str">
        <f>IF(AND('Mapa final'!$AA$53="Muy Baja",'Mapa final'!$AC$53="Leve"),CONCATENATE("R7C",'Mapa final'!$Q$53),"")</f>
        <v/>
      </c>
      <c r="M52" s="64" t="str">
        <f>IF(AND('Mapa final'!$AA$54="Muy Baja",'Mapa final'!$AC$54="Leve"),CONCATENATE("R7C",'Mapa final'!$Q$54),"")</f>
        <v/>
      </c>
      <c r="N52" s="64" t="str">
        <f>IF(AND('Mapa final'!$AA$55="Muy Baja",'Mapa final'!$AC$55="Leve"),CONCATENATE("R7C",'Mapa final'!$Q$55),"")</f>
        <v/>
      </c>
      <c r="O52" s="65" t="str">
        <f>IF(AND('Mapa final'!$AA$56="Muy Baja",'Mapa final'!$AC$56="Leve"),CONCATENATE("R7C",'Mapa final'!$Q$56),"")</f>
        <v/>
      </c>
      <c r="P52" s="63" t="str">
        <f>IF(AND('Mapa final'!$AA$51="Muy Baja",'Mapa final'!$AC$51="Menor"),CONCATENATE("R7C",'Mapa final'!$Q$51),"")</f>
        <v/>
      </c>
      <c r="Q52" s="64" t="str">
        <f>IF(AND('Mapa final'!$AA$52="Muy Baja",'Mapa final'!$AC$52="Menor"),CONCATENATE("R7C",'Mapa final'!$Q$52),"")</f>
        <v/>
      </c>
      <c r="R52" s="64" t="str">
        <f>IF(AND('Mapa final'!$AA$53="Muy Baja",'Mapa final'!$AC$53="Menor"),CONCATENATE("R7C",'Mapa final'!$Q$53),"")</f>
        <v/>
      </c>
      <c r="S52" s="64" t="str">
        <f>IF(AND('Mapa final'!$AA$54="Muy Baja",'Mapa final'!$AC$54="Menor"),CONCATENATE("R7C",'Mapa final'!$Q$54),"")</f>
        <v/>
      </c>
      <c r="T52" s="64" t="str">
        <f>IF(AND('Mapa final'!$AA$55="Muy Baja",'Mapa final'!$AC$55="Menor"),CONCATENATE("R7C",'Mapa final'!$Q$55),"")</f>
        <v/>
      </c>
      <c r="U52" s="65" t="str">
        <f>IF(AND('Mapa final'!$AA$56="Muy Baja",'Mapa final'!$AC$56="Menor"),CONCATENATE("R7C",'Mapa final'!$Q$56),"")</f>
        <v/>
      </c>
      <c r="V52" s="54" t="str">
        <f>IF(AND('Mapa final'!$AA$51="Muy Baja",'Mapa final'!$AC$51="Moderado"),CONCATENATE("R7C",'Mapa final'!$Q$51),"")</f>
        <v/>
      </c>
      <c r="W52" s="55" t="str">
        <f>IF(AND('Mapa final'!$AA$52="Muy Baja",'Mapa final'!$AC$52="Moderado"),CONCATENATE("R7C",'Mapa final'!$Q$52),"")</f>
        <v/>
      </c>
      <c r="X52" s="55" t="str">
        <f>IF(AND('Mapa final'!$AA$53="Muy Baja",'Mapa final'!$AC$53="Moderado"),CONCATENATE("R7C",'Mapa final'!$Q$53),"")</f>
        <v/>
      </c>
      <c r="Y52" s="55" t="str">
        <f>IF(AND('Mapa final'!$AA$54="Muy Baja",'Mapa final'!$AC$54="Moderado"),CONCATENATE("R7C",'Mapa final'!$Q$54),"")</f>
        <v/>
      </c>
      <c r="Z52" s="55" t="str">
        <f>IF(AND('Mapa final'!$AA$55="Muy Baja",'Mapa final'!$AC$55="Moderado"),CONCATENATE("R7C",'Mapa final'!$Q$55),"")</f>
        <v/>
      </c>
      <c r="AA52" s="56" t="str">
        <f>IF(AND('Mapa final'!$AA$56="Muy Baja",'Mapa final'!$AC$56="Moderado"),CONCATENATE("R7C",'Mapa final'!$Q$56),"")</f>
        <v/>
      </c>
      <c r="AB52" s="38" t="str">
        <f>IF(AND('Mapa final'!$AA$51="Muy Baja",'Mapa final'!$AC$51="Mayor"),CONCATENATE("R7C",'Mapa final'!$Q$51),"")</f>
        <v/>
      </c>
      <c r="AC52" s="39" t="str">
        <f>IF(AND('Mapa final'!$AA$52="Muy Baja",'Mapa final'!$AC$52="Mayor"),CONCATENATE("R7C",'Mapa final'!$Q$52),"")</f>
        <v/>
      </c>
      <c r="AD52" s="44" t="str">
        <f>IF(AND('Mapa final'!$AA$53="Muy Baja",'Mapa final'!$AC$53="Mayor"),CONCATENATE("R7C",'Mapa final'!$Q$53),"")</f>
        <v/>
      </c>
      <c r="AE52" s="44" t="str">
        <f>IF(AND('Mapa final'!$AA$54="Muy Baja",'Mapa final'!$AC$54="Mayor"),CONCATENATE("R7C",'Mapa final'!$Q$54),"")</f>
        <v/>
      </c>
      <c r="AF52" s="44" t="str">
        <f>IF(AND('Mapa final'!$AA$55="Muy Baja",'Mapa final'!$AC$55="Mayor"),CONCATENATE("R7C",'Mapa final'!$Q$55),"")</f>
        <v/>
      </c>
      <c r="AG52" s="40" t="str">
        <f>IF(AND('Mapa final'!$AA$56="Muy Baja",'Mapa final'!$AC$56="Mayor"),CONCATENATE("R7C",'Mapa final'!$Q$56),"")</f>
        <v/>
      </c>
      <c r="AH52" s="41" t="str">
        <f>IF(AND('Mapa final'!$AA$51="Muy Baja",'Mapa final'!$AC$51="Catastrófico"),CONCATENATE("R7C",'Mapa final'!$Q$51),"")</f>
        <v/>
      </c>
      <c r="AI52" s="42" t="str">
        <f>IF(AND('Mapa final'!$AA$52="Muy Baja",'Mapa final'!$AC$52="Catastrófico"),CONCATENATE("R7C",'Mapa final'!$Q$52),"")</f>
        <v/>
      </c>
      <c r="AJ52" s="42" t="str">
        <f>IF(AND('Mapa final'!$AA$53="Muy Baja",'Mapa final'!$AC$53="Catastrófico"),CONCATENATE("R7C",'Mapa final'!$Q$53),"")</f>
        <v/>
      </c>
      <c r="AK52" s="42" t="str">
        <f>IF(AND('Mapa final'!$AA$54="Muy Baja",'Mapa final'!$AC$54="Catastrófico"),CONCATENATE("R7C",'Mapa final'!$Q$54),"")</f>
        <v/>
      </c>
      <c r="AL52" s="42" t="str">
        <f>IF(AND('Mapa final'!$AA$55="Muy Baja",'Mapa final'!$AC$55="Catastrófico"),CONCATENATE("R7C",'Mapa final'!$Q$55),"")</f>
        <v/>
      </c>
      <c r="AM52" s="43" t="str">
        <f>IF(AND('Mapa final'!$AA$56="Muy Baja",'Mapa final'!$AC$56="Catastrófico"),CONCATENATE("R7C",'Mapa final'!$Q$56),"")</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85"/>
      <c r="C53" s="285"/>
      <c r="D53" s="286"/>
      <c r="E53" s="326"/>
      <c r="F53" s="327"/>
      <c r="G53" s="327"/>
      <c r="H53" s="327"/>
      <c r="I53" s="328"/>
      <c r="J53" s="63" t="str">
        <f>IF(AND('Mapa final'!$AA$57="Muy Baja",'Mapa final'!$AC$57="Leve"),CONCATENATE("R8C",'Mapa final'!$Q$57),"")</f>
        <v/>
      </c>
      <c r="K53" s="64" t="str">
        <f>IF(AND('Mapa final'!$AA$58="Muy Baja",'Mapa final'!$AC$58="Leve"),CONCATENATE("R8C",'Mapa final'!$Q$58),"")</f>
        <v/>
      </c>
      <c r="L53" s="64" t="str">
        <f>IF(AND('Mapa final'!$AA$59="Muy Baja",'Mapa final'!$AC$59="Leve"),CONCATENATE("R8C",'Mapa final'!$Q$59),"")</f>
        <v/>
      </c>
      <c r="M53" s="64" t="str">
        <f>IF(AND('Mapa final'!$AA$60="Muy Baja",'Mapa final'!$AC$60="Leve"),CONCATENATE("R8C",'Mapa final'!$Q$60),"")</f>
        <v/>
      </c>
      <c r="N53" s="64" t="str">
        <f>IF(AND('Mapa final'!$AA$61="Muy Baja",'Mapa final'!$AC$61="Leve"),CONCATENATE("R8C",'Mapa final'!$Q$61),"")</f>
        <v/>
      </c>
      <c r="O53" s="65" t="str">
        <f>IF(AND('Mapa final'!$AA$62="Muy Baja",'Mapa final'!$AC$62="Leve"),CONCATENATE("R8C",'Mapa final'!$Q$62),"")</f>
        <v/>
      </c>
      <c r="P53" s="63" t="str">
        <f>IF(AND('Mapa final'!$AA$57="Muy Baja",'Mapa final'!$AC$57="Menor"),CONCATENATE("R8C",'Mapa final'!$Q$57),"")</f>
        <v/>
      </c>
      <c r="Q53" s="64" t="str">
        <f>IF(AND('Mapa final'!$AA$58="Muy Baja",'Mapa final'!$AC$58="Menor"),CONCATENATE("R8C",'Mapa final'!$Q$58),"")</f>
        <v/>
      </c>
      <c r="R53" s="64" t="str">
        <f>IF(AND('Mapa final'!$AA$59="Muy Baja",'Mapa final'!$AC$59="Menor"),CONCATENATE("R8C",'Mapa final'!$Q$59),"")</f>
        <v/>
      </c>
      <c r="S53" s="64" t="str">
        <f>IF(AND('Mapa final'!$AA$60="Muy Baja",'Mapa final'!$AC$60="Menor"),CONCATENATE("R8C",'Mapa final'!$Q$60),"")</f>
        <v/>
      </c>
      <c r="T53" s="64" t="str">
        <f>IF(AND('Mapa final'!$AA$61="Muy Baja",'Mapa final'!$AC$61="Menor"),CONCATENATE("R8C",'Mapa final'!$Q$61),"")</f>
        <v/>
      </c>
      <c r="U53" s="65" t="str">
        <f>IF(AND('Mapa final'!$AA$62="Muy Baja",'Mapa final'!$AC$62="Menor"),CONCATENATE("R8C",'Mapa final'!$Q$62),"")</f>
        <v/>
      </c>
      <c r="V53" s="54" t="str">
        <f>IF(AND('Mapa final'!$AA$57="Muy Baja",'Mapa final'!$AC$57="Moderado"),CONCATENATE("R8C",'Mapa final'!$Q$57),"")</f>
        <v/>
      </c>
      <c r="W53" s="55" t="str">
        <f>IF(AND('Mapa final'!$AA$58="Muy Baja",'Mapa final'!$AC$58="Moderado"),CONCATENATE("R8C",'Mapa final'!$Q$58),"")</f>
        <v/>
      </c>
      <c r="X53" s="55" t="str">
        <f>IF(AND('Mapa final'!$AA$59="Muy Baja",'Mapa final'!$AC$59="Moderado"),CONCATENATE("R8C",'Mapa final'!$Q$59),"")</f>
        <v/>
      </c>
      <c r="Y53" s="55" t="str">
        <f>IF(AND('Mapa final'!$AA$60="Muy Baja",'Mapa final'!$AC$60="Moderado"),CONCATENATE("R8C",'Mapa final'!$Q$60),"")</f>
        <v/>
      </c>
      <c r="Z53" s="55" t="str">
        <f>IF(AND('Mapa final'!$AA$61="Muy Baja",'Mapa final'!$AC$61="Moderado"),CONCATENATE("R8C",'Mapa final'!$Q$61),"")</f>
        <v/>
      </c>
      <c r="AA53" s="56" t="str">
        <f>IF(AND('Mapa final'!$AA$62="Muy Baja",'Mapa final'!$AC$62="Moderado"),CONCATENATE("R8C",'Mapa final'!$Q$62),"")</f>
        <v/>
      </c>
      <c r="AB53" s="38" t="str">
        <f>IF(AND('Mapa final'!$AA$57="Muy Baja",'Mapa final'!$AC$57="Mayor"),CONCATENATE("R8C",'Mapa final'!$Q$57),"")</f>
        <v/>
      </c>
      <c r="AC53" s="39" t="str">
        <f>IF(AND('Mapa final'!$AA$58="Muy Baja",'Mapa final'!$AC$58="Mayor"),CONCATENATE("R8C",'Mapa final'!$Q$58),"")</f>
        <v/>
      </c>
      <c r="AD53" s="44" t="str">
        <f>IF(AND('Mapa final'!$AA$59="Muy Baja",'Mapa final'!$AC$59="Mayor"),CONCATENATE("R8C",'Mapa final'!$Q$59),"")</f>
        <v/>
      </c>
      <c r="AE53" s="44" t="str">
        <f>IF(AND('Mapa final'!$AA$60="Muy Baja",'Mapa final'!$AC$60="Mayor"),CONCATENATE("R8C",'Mapa final'!$Q$60),"")</f>
        <v/>
      </c>
      <c r="AF53" s="44" t="str">
        <f>IF(AND('Mapa final'!$AA$61="Muy Baja",'Mapa final'!$AC$61="Mayor"),CONCATENATE("R8C",'Mapa final'!$Q$61),"")</f>
        <v/>
      </c>
      <c r="AG53" s="40" t="str">
        <f>IF(AND('Mapa final'!$AA$62="Muy Baja",'Mapa final'!$AC$62="Mayor"),CONCATENATE("R8C",'Mapa final'!$Q$62),"")</f>
        <v/>
      </c>
      <c r="AH53" s="41" t="str">
        <f>IF(AND('Mapa final'!$AA$57="Muy Baja",'Mapa final'!$AC$57="Catastrófico"),CONCATENATE("R8C",'Mapa final'!$Q$57),"")</f>
        <v/>
      </c>
      <c r="AI53" s="42" t="str">
        <f>IF(AND('Mapa final'!$AA$58="Muy Baja",'Mapa final'!$AC$58="Catastrófico"),CONCATENATE("R8C",'Mapa final'!$Q$58),"")</f>
        <v/>
      </c>
      <c r="AJ53" s="42" t="str">
        <f>IF(AND('Mapa final'!$AA$59="Muy Baja",'Mapa final'!$AC$59="Catastrófico"),CONCATENATE("R8C",'Mapa final'!$Q$59),"")</f>
        <v/>
      </c>
      <c r="AK53" s="42" t="str">
        <f>IF(AND('Mapa final'!$AA$60="Muy Baja",'Mapa final'!$AC$60="Catastrófico"),CONCATENATE("R8C",'Mapa final'!$Q$60),"")</f>
        <v/>
      </c>
      <c r="AL53" s="42" t="str">
        <f>IF(AND('Mapa final'!$AA$61="Muy Baja",'Mapa final'!$AC$61="Catastrófico"),CONCATENATE("R8C",'Mapa final'!$Q$61),"")</f>
        <v/>
      </c>
      <c r="AM53" s="43" t="str">
        <f>IF(AND('Mapa final'!$AA$62="Muy Baja",'Mapa final'!$AC$62="Catastrófico"),CONCATENATE("R8C",'Mapa final'!$Q$62),"")</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85"/>
      <c r="C54" s="285"/>
      <c r="D54" s="286"/>
      <c r="E54" s="326"/>
      <c r="F54" s="327"/>
      <c r="G54" s="327"/>
      <c r="H54" s="327"/>
      <c r="I54" s="328"/>
      <c r="J54" s="63" t="str">
        <f>IF(AND('Mapa final'!$AA$63="Muy Baja",'Mapa final'!$AC$63="Leve"),CONCATENATE("R9C",'Mapa final'!$Q$63),"")</f>
        <v/>
      </c>
      <c r="K54" s="64" t="str">
        <f>IF(AND('Mapa final'!$AA$64="Muy Baja",'Mapa final'!$AC$64="Leve"),CONCATENATE("R9C",'Mapa final'!$Q$64),"")</f>
        <v/>
      </c>
      <c r="L54" s="64" t="str">
        <f>IF(AND('Mapa final'!$AA$65="Muy Baja",'Mapa final'!$AC$65="Leve"),CONCATENATE("R9C",'Mapa final'!$Q$65),"")</f>
        <v/>
      </c>
      <c r="M54" s="64" t="str">
        <f>IF(AND('Mapa final'!$AA$66="Muy Baja",'Mapa final'!$AC$66="Leve"),CONCATENATE("R9C",'Mapa final'!$Q$66),"")</f>
        <v/>
      </c>
      <c r="N54" s="64" t="str">
        <f>IF(AND('Mapa final'!$AA$67="Muy Baja",'Mapa final'!$AC$67="Leve"),CONCATENATE("R9C",'Mapa final'!$Q$67),"")</f>
        <v/>
      </c>
      <c r="O54" s="65" t="str">
        <f>IF(AND('Mapa final'!$AA$68="Muy Baja",'Mapa final'!$AC$68="Leve"),CONCATENATE("R9C",'Mapa final'!$Q$68),"")</f>
        <v/>
      </c>
      <c r="P54" s="63" t="str">
        <f>IF(AND('Mapa final'!$AA$63="Muy Baja",'Mapa final'!$AC$63="Menor"),CONCATENATE("R9C",'Mapa final'!$Q$63),"")</f>
        <v/>
      </c>
      <c r="Q54" s="64" t="str">
        <f>IF(AND('Mapa final'!$AA$64="Muy Baja",'Mapa final'!$AC$64="Menor"),CONCATENATE("R9C",'Mapa final'!$Q$64),"")</f>
        <v/>
      </c>
      <c r="R54" s="64" t="str">
        <f>IF(AND('Mapa final'!$AA$65="Muy Baja",'Mapa final'!$AC$65="Menor"),CONCATENATE("R9C",'Mapa final'!$Q$65),"")</f>
        <v/>
      </c>
      <c r="S54" s="64" t="str">
        <f>IF(AND('Mapa final'!$AA$66="Muy Baja",'Mapa final'!$AC$66="Menor"),CONCATENATE("R9C",'Mapa final'!$Q$66),"")</f>
        <v/>
      </c>
      <c r="T54" s="64" t="str">
        <f>IF(AND('Mapa final'!$AA$67="Muy Baja",'Mapa final'!$AC$67="Menor"),CONCATENATE("R9C",'Mapa final'!$Q$67),"")</f>
        <v/>
      </c>
      <c r="U54" s="65" t="str">
        <f>IF(AND('Mapa final'!$AA$68="Muy Baja",'Mapa final'!$AC$68="Menor"),CONCATENATE("R9C",'Mapa final'!$Q$68),"")</f>
        <v/>
      </c>
      <c r="V54" s="54" t="str">
        <f>IF(AND('Mapa final'!$AA$63="Muy Baja",'Mapa final'!$AC$63="Moderado"),CONCATENATE("R9C",'Mapa final'!$Q$63),"")</f>
        <v/>
      </c>
      <c r="W54" s="55" t="str">
        <f>IF(AND('Mapa final'!$AA$64="Muy Baja",'Mapa final'!$AC$64="Moderado"),CONCATENATE("R9C",'Mapa final'!$Q$64),"")</f>
        <v/>
      </c>
      <c r="X54" s="55" t="str">
        <f>IF(AND('Mapa final'!$AA$65="Muy Baja",'Mapa final'!$AC$65="Moderado"),CONCATENATE("R9C",'Mapa final'!$Q$65),"")</f>
        <v/>
      </c>
      <c r="Y54" s="55" t="str">
        <f>IF(AND('Mapa final'!$AA$66="Muy Baja",'Mapa final'!$AC$66="Moderado"),CONCATENATE("R9C",'Mapa final'!$Q$66),"")</f>
        <v/>
      </c>
      <c r="Z54" s="55" t="str">
        <f>IF(AND('Mapa final'!$AA$67="Muy Baja",'Mapa final'!$AC$67="Moderado"),CONCATENATE("R9C",'Mapa final'!$Q$67),"")</f>
        <v/>
      </c>
      <c r="AA54" s="56" t="str">
        <f>IF(AND('Mapa final'!$AA$68="Muy Baja",'Mapa final'!$AC$68="Moderado"),CONCATENATE("R9C",'Mapa final'!$Q$68),"")</f>
        <v/>
      </c>
      <c r="AB54" s="38" t="str">
        <f>IF(AND('Mapa final'!$AA$63="Muy Baja",'Mapa final'!$AC$63="Mayor"),CONCATENATE("R9C",'Mapa final'!$Q$63),"")</f>
        <v/>
      </c>
      <c r="AC54" s="39" t="str">
        <f>IF(AND('Mapa final'!$AA$64="Muy Baja",'Mapa final'!$AC$64="Mayor"),CONCATENATE("R9C",'Mapa final'!$Q$64),"")</f>
        <v/>
      </c>
      <c r="AD54" s="44" t="str">
        <f>IF(AND('Mapa final'!$AA$65="Muy Baja",'Mapa final'!$AC$65="Mayor"),CONCATENATE("R9C",'Mapa final'!$Q$65),"")</f>
        <v/>
      </c>
      <c r="AE54" s="44" t="str">
        <f>IF(AND('Mapa final'!$AA$66="Muy Baja",'Mapa final'!$AC$66="Mayor"),CONCATENATE("R9C",'Mapa final'!$Q$66),"")</f>
        <v/>
      </c>
      <c r="AF54" s="44" t="str">
        <f>IF(AND('Mapa final'!$AA$67="Muy Baja",'Mapa final'!$AC$67="Mayor"),CONCATENATE("R9C",'Mapa final'!$Q$67),"")</f>
        <v/>
      </c>
      <c r="AG54" s="40" t="str">
        <f>IF(AND('Mapa final'!$AA$68="Muy Baja",'Mapa final'!$AC$68="Mayor"),CONCATENATE("R9C",'Mapa final'!$Q$68),"")</f>
        <v/>
      </c>
      <c r="AH54" s="41" t="str">
        <f>IF(AND('Mapa final'!$AA$63="Muy Baja",'Mapa final'!$AC$63="Catastrófico"),CONCATENATE("R9C",'Mapa final'!$Q$63),"")</f>
        <v/>
      </c>
      <c r="AI54" s="42" t="str">
        <f>IF(AND('Mapa final'!$AA$64="Muy Baja",'Mapa final'!$AC$64="Catastrófico"),CONCATENATE("R9C",'Mapa final'!$Q$64),"")</f>
        <v/>
      </c>
      <c r="AJ54" s="42" t="str">
        <f>IF(AND('Mapa final'!$AA$65="Muy Baja",'Mapa final'!$AC$65="Catastrófico"),CONCATENATE("R9C",'Mapa final'!$Q$65),"")</f>
        <v/>
      </c>
      <c r="AK54" s="42" t="str">
        <f>IF(AND('Mapa final'!$AA$66="Muy Baja",'Mapa final'!$AC$66="Catastrófico"),CONCATENATE("R9C",'Mapa final'!$Q$66),"")</f>
        <v/>
      </c>
      <c r="AL54" s="42" t="str">
        <f>IF(AND('Mapa final'!$AA$67="Muy Baja",'Mapa final'!$AC$67="Catastrófico"),CONCATENATE("R9C",'Mapa final'!$Q$67),"")</f>
        <v/>
      </c>
      <c r="AM54" s="43" t="str">
        <f>IF(AND('Mapa final'!$AA$68="Muy Baja",'Mapa final'!$AC$68="Catastrófico"),CONCATENATE("R9C",'Mapa final'!$Q$68),"")</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85"/>
      <c r="C55" s="285"/>
      <c r="D55" s="286"/>
      <c r="E55" s="329"/>
      <c r="F55" s="330"/>
      <c r="G55" s="330"/>
      <c r="H55" s="330"/>
      <c r="I55" s="331"/>
      <c r="J55" s="66" t="str">
        <f>IF(AND('Mapa final'!$AA$69="Muy Baja",'Mapa final'!$AC$69="Leve"),CONCATENATE("R10C",'Mapa final'!$Q$69),"")</f>
        <v/>
      </c>
      <c r="K55" s="67" t="str">
        <f>IF(AND('Mapa final'!$AA$70="Muy Baja",'Mapa final'!$AC$70="Leve"),CONCATENATE("R10C",'Mapa final'!$Q$70),"")</f>
        <v/>
      </c>
      <c r="L55" s="67" t="str">
        <f>IF(AND('Mapa final'!$AA$71="Muy Baja",'Mapa final'!$AC$71="Leve"),CONCATENATE("R10C",'Mapa final'!$Q$71),"")</f>
        <v/>
      </c>
      <c r="M55" s="67" t="str">
        <f>IF(AND('Mapa final'!$AA$72="Muy Baja",'Mapa final'!$AC$72="Leve"),CONCATENATE("R10C",'Mapa final'!$Q$72),"")</f>
        <v/>
      </c>
      <c r="N55" s="67" t="str">
        <f>IF(AND('Mapa final'!$AA$73="Muy Baja",'Mapa final'!$AC$73="Leve"),CONCATENATE("R10C",'Mapa final'!$Q$73),"")</f>
        <v/>
      </c>
      <c r="O55" s="68" t="str">
        <f>IF(AND('Mapa final'!$AA$74="Muy Baja",'Mapa final'!$AC$74="Leve"),CONCATENATE("R10C",'Mapa final'!$Q$74),"")</f>
        <v/>
      </c>
      <c r="P55" s="66" t="str">
        <f>IF(AND('Mapa final'!$AA$69="Muy Baja",'Mapa final'!$AC$69="Menor"),CONCATENATE("R10C",'Mapa final'!$Q$69),"")</f>
        <v/>
      </c>
      <c r="Q55" s="67" t="str">
        <f>IF(AND('Mapa final'!$AA$70="Muy Baja",'Mapa final'!$AC$70="Menor"),CONCATENATE("R10C",'Mapa final'!$Q$70),"")</f>
        <v/>
      </c>
      <c r="R55" s="67" t="str">
        <f>IF(AND('Mapa final'!$AA$71="Muy Baja",'Mapa final'!$AC$71="Menor"),CONCATENATE("R10C",'Mapa final'!$Q$71),"")</f>
        <v/>
      </c>
      <c r="S55" s="67" t="str">
        <f>IF(AND('Mapa final'!$AA$72="Muy Baja",'Mapa final'!$AC$72="Menor"),CONCATENATE("R10C",'Mapa final'!$Q$72),"")</f>
        <v/>
      </c>
      <c r="T55" s="67" t="str">
        <f>IF(AND('Mapa final'!$AA$73="Muy Baja",'Mapa final'!$AC$73="Menor"),CONCATENATE("R10C",'Mapa final'!$Q$73),"")</f>
        <v/>
      </c>
      <c r="U55" s="68" t="str">
        <f>IF(AND('Mapa final'!$AA$74="Muy Baja",'Mapa final'!$AC$74="Menor"),CONCATENATE("R10C",'Mapa final'!$Q$74),"")</f>
        <v/>
      </c>
      <c r="V55" s="57" t="str">
        <f>IF(AND('Mapa final'!$AA$69="Muy Baja",'Mapa final'!$AC$69="Moderado"),CONCATENATE("R10C",'Mapa final'!$Q$69),"")</f>
        <v/>
      </c>
      <c r="W55" s="58" t="str">
        <f>IF(AND('Mapa final'!$AA$70="Muy Baja",'Mapa final'!$AC$70="Moderado"),CONCATENATE("R10C",'Mapa final'!$Q$70),"")</f>
        <v/>
      </c>
      <c r="X55" s="58" t="str">
        <f>IF(AND('Mapa final'!$AA$71="Muy Baja",'Mapa final'!$AC$71="Moderado"),CONCATENATE("R10C",'Mapa final'!$Q$71),"")</f>
        <v/>
      </c>
      <c r="Y55" s="58" t="str">
        <f>IF(AND('Mapa final'!$AA$72="Muy Baja",'Mapa final'!$AC$72="Moderado"),CONCATENATE("R10C",'Mapa final'!$Q$72),"")</f>
        <v/>
      </c>
      <c r="Z55" s="58" t="str">
        <f>IF(AND('Mapa final'!$AA$73="Muy Baja",'Mapa final'!$AC$73="Moderado"),CONCATENATE("R10C",'Mapa final'!$Q$73),"")</f>
        <v/>
      </c>
      <c r="AA55" s="59" t="str">
        <f>IF(AND('Mapa final'!$AA$74="Muy Baja",'Mapa final'!$AC$74="Moderado"),CONCATENATE("R10C",'Mapa final'!$Q$74),"")</f>
        <v/>
      </c>
      <c r="AB55" s="45" t="str">
        <f>IF(AND('Mapa final'!$AA$69="Muy Baja",'Mapa final'!$AC$69="Mayor"),CONCATENATE("R10C",'Mapa final'!$Q$69),"")</f>
        <v/>
      </c>
      <c r="AC55" s="46" t="str">
        <f>IF(AND('Mapa final'!$AA$70="Muy Baja",'Mapa final'!$AC$70="Mayor"),CONCATENATE("R10C",'Mapa final'!$Q$70),"")</f>
        <v/>
      </c>
      <c r="AD55" s="46" t="str">
        <f>IF(AND('Mapa final'!$AA$71="Muy Baja",'Mapa final'!$AC$71="Mayor"),CONCATENATE("R10C",'Mapa final'!$Q$71),"")</f>
        <v/>
      </c>
      <c r="AE55" s="46" t="str">
        <f>IF(AND('Mapa final'!$AA$72="Muy Baja",'Mapa final'!$AC$72="Mayor"),CONCATENATE("R10C",'Mapa final'!$Q$72),"")</f>
        <v/>
      </c>
      <c r="AF55" s="46" t="str">
        <f>IF(AND('Mapa final'!$AA$73="Muy Baja",'Mapa final'!$AC$73="Mayor"),CONCATENATE("R10C",'Mapa final'!$Q$73),"")</f>
        <v/>
      </c>
      <c r="AG55" s="47" t="str">
        <f>IF(AND('Mapa final'!$AA$74="Muy Baja",'Mapa final'!$AC$74="Mayor"),CONCATENATE("R10C",'Mapa final'!$Q$74),"")</f>
        <v/>
      </c>
      <c r="AH55" s="48" t="str">
        <f>IF(AND('Mapa final'!$AA$69="Muy Baja",'Mapa final'!$AC$69="Catastrófico"),CONCATENATE("R10C",'Mapa final'!$Q$69),"")</f>
        <v/>
      </c>
      <c r="AI55" s="49" t="str">
        <f>IF(AND('Mapa final'!$AA$70="Muy Baja",'Mapa final'!$AC$70="Catastrófico"),CONCATENATE("R10C",'Mapa final'!$Q$70),"")</f>
        <v/>
      </c>
      <c r="AJ55" s="49" t="str">
        <f>IF(AND('Mapa final'!$AA$71="Muy Baja",'Mapa final'!$AC$71="Catastrófico"),CONCATENATE("R10C",'Mapa final'!$Q$71),"")</f>
        <v/>
      </c>
      <c r="AK55" s="49" t="str">
        <f>IF(AND('Mapa final'!$AA$72="Muy Baja",'Mapa final'!$AC$72="Catastrófico"),CONCATENATE("R10C",'Mapa final'!$Q$72),"")</f>
        <v/>
      </c>
      <c r="AL55" s="49" t="str">
        <f>IF(AND('Mapa final'!$AA$73="Muy Baja",'Mapa final'!$AC$73="Catastrófico"),CONCATENATE("R10C",'Mapa final'!$Q$73),"")</f>
        <v/>
      </c>
      <c r="AM55" s="50" t="str">
        <f>IF(AND('Mapa final'!$AA$74="Muy Baja",'Mapa final'!$AC$74="Catastrófico"),CONCATENATE("R10C",'Mapa final'!$Q$74),"")</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3" t="s">
        <v>108</v>
      </c>
      <c r="K56" s="324"/>
      <c r="L56" s="324"/>
      <c r="M56" s="324"/>
      <c r="N56" s="324"/>
      <c r="O56" s="325"/>
      <c r="P56" s="323" t="s">
        <v>107</v>
      </c>
      <c r="Q56" s="324"/>
      <c r="R56" s="324"/>
      <c r="S56" s="324"/>
      <c r="T56" s="324"/>
      <c r="U56" s="325"/>
      <c r="V56" s="323" t="s">
        <v>106</v>
      </c>
      <c r="W56" s="324"/>
      <c r="X56" s="324"/>
      <c r="Y56" s="324"/>
      <c r="Z56" s="324"/>
      <c r="AA56" s="325"/>
      <c r="AB56" s="323" t="s">
        <v>105</v>
      </c>
      <c r="AC56" s="332"/>
      <c r="AD56" s="324"/>
      <c r="AE56" s="324"/>
      <c r="AF56" s="324"/>
      <c r="AG56" s="325"/>
      <c r="AH56" s="323" t="s">
        <v>104</v>
      </c>
      <c r="AI56" s="324"/>
      <c r="AJ56" s="324"/>
      <c r="AK56" s="324"/>
      <c r="AL56" s="324"/>
      <c r="AM56" s="325"/>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6"/>
      <c r="K57" s="327"/>
      <c r="L57" s="327"/>
      <c r="M57" s="327"/>
      <c r="N57" s="327"/>
      <c r="O57" s="328"/>
      <c r="P57" s="326"/>
      <c r="Q57" s="327"/>
      <c r="R57" s="327"/>
      <c r="S57" s="327"/>
      <c r="T57" s="327"/>
      <c r="U57" s="328"/>
      <c r="V57" s="326"/>
      <c r="W57" s="327"/>
      <c r="X57" s="327"/>
      <c r="Y57" s="327"/>
      <c r="Z57" s="327"/>
      <c r="AA57" s="328"/>
      <c r="AB57" s="326"/>
      <c r="AC57" s="327"/>
      <c r="AD57" s="327"/>
      <c r="AE57" s="327"/>
      <c r="AF57" s="327"/>
      <c r="AG57" s="328"/>
      <c r="AH57" s="326"/>
      <c r="AI57" s="327"/>
      <c r="AJ57" s="327"/>
      <c r="AK57" s="327"/>
      <c r="AL57" s="327"/>
      <c r="AM57" s="328"/>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6"/>
      <c r="K58" s="327"/>
      <c r="L58" s="327"/>
      <c r="M58" s="327"/>
      <c r="N58" s="327"/>
      <c r="O58" s="328"/>
      <c r="P58" s="326"/>
      <c r="Q58" s="327"/>
      <c r="R58" s="327"/>
      <c r="S58" s="327"/>
      <c r="T58" s="327"/>
      <c r="U58" s="328"/>
      <c r="V58" s="326"/>
      <c r="W58" s="327"/>
      <c r="X58" s="327"/>
      <c r="Y58" s="327"/>
      <c r="Z58" s="327"/>
      <c r="AA58" s="328"/>
      <c r="AB58" s="326"/>
      <c r="AC58" s="327"/>
      <c r="AD58" s="327"/>
      <c r="AE58" s="327"/>
      <c r="AF58" s="327"/>
      <c r="AG58" s="328"/>
      <c r="AH58" s="326"/>
      <c r="AI58" s="327"/>
      <c r="AJ58" s="327"/>
      <c r="AK58" s="327"/>
      <c r="AL58" s="327"/>
      <c r="AM58" s="328"/>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6"/>
      <c r="K59" s="327"/>
      <c r="L59" s="327"/>
      <c r="M59" s="327"/>
      <c r="N59" s="327"/>
      <c r="O59" s="328"/>
      <c r="P59" s="326"/>
      <c r="Q59" s="327"/>
      <c r="R59" s="327"/>
      <c r="S59" s="327"/>
      <c r="T59" s="327"/>
      <c r="U59" s="328"/>
      <c r="V59" s="326"/>
      <c r="W59" s="327"/>
      <c r="X59" s="327"/>
      <c r="Y59" s="327"/>
      <c r="Z59" s="327"/>
      <c r="AA59" s="328"/>
      <c r="AB59" s="326"/>
      <c r="AC59" s="327"/>
      <c r="AD59" s="327"/>
      <c r="AE59" s="327"/>
      <c r="AF59" s="327"/>
      <c r="AG59" s="328"/>
      <c r="AH59" s="326"/>
      <c r="AI59" s="327"/>
      <c r="AJ59" s="327"/>
      <c r="AK59" s="327"/>
      <c r="AL59" s="327"/>
      <c r="AM59" s="328"/>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6"/>
      <c r="K60" s="327"/>
      <c r="L60" s="327"/>
      <c r="M60" s="327"/>
      <c r="N60" s="327"/>
      <c r="O60" s="328"/>
      <c r="P60" s="326"/>
      <c r="Q60" s="327"/>
      <c r="R60" s="327"/>
      <c r="S60" s="327"/>
      <c r="T60" s="327"/>
      <c r="U60" s="328"/>
      <c r="V60" s="326"/>
      <c r="W60" s="327"/>
      <c r="X60" s="327"/>
      <c r="Y60" s="327"/>
      <c r="Z60" s="327"/>
      <c r="AA60" s="328"/>
      <c r="AB60" s="326"/>
      <c r="AC60" s="327"/>
      <c r="AD60" s="327"/>
      <c r="AE60" s="327"/>
      <c r="AF60" s="327"/>
      <c r="AG60" s="328"/>
      <c r="AH60" s="326"/>
      <c r="AI60" s="327"/>
      <c r="AJ60" s="327"/>
      <c r="AK60" s="327"/>
      <c r="AL60" s="327"/>
      <c r="AM60" s="328"/>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29"/>
      <c r="K61" s="330"/>
      <c r="L61" s="330"/>
      <c r="M61" s="330"/>
      <c r="N61" s="330"/>
      <c r="O61" s="331"/>
      <c r="P61" s="329"/>
      <c r="Q61" s="330"/>
      <c r="R61" s="330"/>
      <c r="S61" s="330"/>
      <c r="T61" s="330"/>
      <c r="U61" s="331"/>
      <c r="V61" s="329"/>
      <c r="W61" s="330"/>
      <c r="X61" s="330"/>
      <c r="Y61" s="330"/>
      <c r="Z61" s="330"/>
      <c r="AA61" s="331"/>
      <c r="AB61" s="329"/>
      <c r="AC61" s="330"/>
      <c r="AD61" s="330"/>
      <c r="AE61" s="330"/>
      <c r="AF61" s="330"/>
      <c r="AG61" s="331"/>
      <c r="AH61" s="329"/>
      <c r="AI61" s="330"/>
      <c r="AJ61" s="330"/>
      <c r="AK61" s="330"/>
      <c r="AL61" s="330"/>
      <c r="AM61" s="331"/>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80" zoomScaleNormal="8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3" t="s">
        <v>51</v>
      </c>
      <c r="C1" s="373"/>
      <c r="D1" s="373"/>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C8" sqref="C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74" t="s">
        <v>59</v>
      </c>
      <c r="C1" s="374"/>
      <c r="D1" s="374"/>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IF(NOT(ISERROR(MATCH(G210,_xlfn.ANCHORARRAY(B221),0))),F223&amp;"Por favor no seleccionar los criterios de impacto",G210)</f>
        <v>❌Por favor no seleccionar los criterios de impacto</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str" cm="1">
        <f t="array" ref="B221:B223">_xlfn.UNIQUE(Tabla1[[#All],[Criterios]])</f>
        <v>Criterios</v>
      </c>
      <c r="C221" s="18"/>
      <c r="E221" t="s">
        <v>114</v>
      </c>
      <c r="F221" t="str">
        <f t="shared" si="0"/>
        <v xml:space="preserve">     El riesgo afecta la imagen de la entidad a nivel nacional, con efecto publicitarios sostenible a nivel país</v>
      </c>
    </row>
    <row r="222" spans="1:8" x14ac:dyDescent="0.25">
      <c r="A222" s="70"/>
      <c r="B222" s="18" t="str">
        <v>Afectación Económica o presupuestal</v>
      </c>
      <c r="C222" s="18"/>
    </row>
    <row r="223" spans="1:8" x14ac:dyDescent="0.25">
      <c r="B223" s="18" t="str">
        <v>Pérdida Reputacional</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5" t="s">
        <v>74</v>
      </c>
      <c r="C1" s="376"/>
      <c r="D1" s="376"/>
      <c r="E1" s="376"/>
      <c r="F1" s="377"/>
    </row>
    <row r="2" spans="2:6" ht="16.5" thickBot="1" x14ac:dyDescent="0.3">
      <c r="B2" s="76"/>
      <c r="C2" s="76"/>
      <c r="D2" s="76"/>
      <c r="E2" s="76"/>
      <c r="F2" s="76"/>
    </row>
    <row r="3" spans="2:6" ht="16.5" thickBot="1" x14ac:dyDescent="0.25">
      <c r="B3" s="379" t="s">
        <v>60</v>
      </c>
      <c r="C3" s="380"/>
      <c r="D3" s="380"/>
      <c r="E3" s="137" t="s">
        <v>61</v>
      </c>
      <c r="F3" s="138" t="s">
        <v>62</v>
      </c>
    </row>
    <row r="4" spans="2:6" ht="31.5" x14ac:dyDescent="0.2">
      <c r="B4" s="381" t="s">
        <v>63</v>
      </c>
      <c r="C4" s="383" t="s">
        <v>12</v>
      </c>
      <c r="D4" s="77" t="s">
        <v>13</v>
      </c>
      <c r="E4" s="78" t="s">
        <v>64</v>
      </c>
      <c r="F4" s="79">
        <v>0.25</v>
      </c>
    </row>
    <row r="5" spans="2:6" ht="47.25" x14ac:dyDescent="0.2">
      <c r="B5" s="382"/>
      <c r="C5" s="384"/>
      <c r="D5" s="80" t="s">
        <v>14</v>
      </c>
      <c r="E5" s="81" t="s">
        <v>65</v>
      </c>
      <c r="F5" s="82">
        <v>0.15</v>
      </c>
    </row>
    <row r="6" spans="2:6" ht="47.25" x14ac:dyDescent="0.2">
      <c r="B6" s="382"/>
      <c r="C6" s="384"/>
      <c r="D6" s="80" t="s">
        <v>15</v>
      </c>
      <c r="E6" s="81" t="s">
        <v>66</v>
      </c>
      <c r="F6" s="82">
        <v>0.1</v>
      </c>
    </row>
    <row r="7" spans="2:6" ht="63" x14ac:dyDescent="0.2">
      <c r="B7" s="382"/>
      <c r="C7" s="384" t="s">
        <v>16</v>
      </c>
      <c r="D7" s="80" t="s">
        <v>9</v>
      </c>
      <c r="E7" s="81" t="s">
        <v>67</v>
      </c>
      <c r="F7" s="82">
        <v>0.25</v>
      </c>
    </row>
    <row r="8" spans="2:6" ht="31.5" x14ac:dyDescent="0.2">
      <c r="B8" s="382"/>
      <c r="C8" s="384"/>
      <c r="D8" s="80" t="s">
        <v>8</v>
      </c>
      <c r="E8" s="81" t="s">
        <v>68</v>
      </c>
      <c r="F8" s="82">
        <v>0.15</v>
      </c>
    </row>
    <row r="9" spans="2:6" ht="47.25" x14ac:dyDescent="0.2">
      <c r="B9" s="382" t="s">
        <v>155</v>
      </c>
      <c r="C9" s="384" t="s">
        <v>17</v>
      </c>
      <c r="D9" s="80" t="s">
        <v>18</v>
      </c>
      <c r="E9" s="81" t="s">
        <v>69</v>
      </c>
      <c r="F9" s="83" t="s">
        <v>70</v>
      </c>
    </row>
    <row r="10" spans="2:6" ht="63" x14ac:dyDescent="0.2">
      <c r="B10" s="382"/>
      <c r="C10" s="384"/>
      <c r="D10" s="80" t="s">
        <v>19</v>
      </c>
      <c r="E10" s="81" t="s">
        <v>71</v>
      </c>
      <c r="F10" s="83" t="s">
        <v>70</v>
      </c>
    </row>
    <row r="11" spans="2:6" ht="47.25" x14ac:dyDescent="0.2">
      <c r="B11" s="382"/>
      <c r="C11" s="384" t="s">
        <v>20</v>
      </c>
      <c r="D11" s="80" t="s">
        <v>21</v>
      </c>
      <c r="E11" s="81" t="s">
        <v>72</v>
      </c>
      <c r="F11" s="83" t="s">
        <v>70</v>
      </c>
    </row>
    <row r="12" spans="2:6" ht="47.25" x14ac:dyDescent="0.2">
      <c r="B12" s="382"/>
      <c r="C12" s="384"/>
      <c r="D12" s="80" t="s">
        <v>22</v>
      </c>
      <c r="E12" s="81" t="s">
        <v>73</v>
      </c>
      <c r="F12" s="83" t="s">
        <v>70</v>
      </c>
    </row>
    <row r="13" spans="2:6" ht="31.5" x14ac:dyDescent="0.2">
      <c r="B13" s="382"/>
      <c r="C13" s="384" t="s">
        <v>23</v>
      </c>
      <c r="D13" s="80" t="s">
        <v>115</v>
      </c>
      <c r="E13" s="81" t="s">
        <v>118</v>
      </c>
      <c r="F13" s="83" t="s">
        <v>70</v>
      </c>
    </row>
    <row r="14" spans="2:6" ht="32.25" thickBot="1" x14ac:dyDescent="0.25">
      <c r="B14" s="385"/>
      <c r="C14" s="386"/>
      <c r="D14" s="84" t="s">
        <v>116</v>
      </c>
      <c r="E14" s="85" t="s">
        <v>117</v>
      </c>
      <c r="F14" s="86" t="s">
        <v>70</v>
      </c>
    </row>
    <row r="15" spans="2:6" ht="49.5" customHeight="1" x14ac:dyDescent="0.2">
      <c r="B15" s="378" t="s">
        <v>152</v>
      </c>
      <c r="C15" s="378"/>
      <c r="D15" s="378"/>
      <c r="E15" s="378"/>
      <c r="F15" s="378"/>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2022-02-03T22:40:19Z</dcterms:modified>
</cp:coreProperties>
</file>