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disco D\INDUPAL\CONTRALORIA MUNICIPAL\3. VALORACION DE RIESGOS\"/>
    </mc:Choice>
  </mc:AlternateContent>
  <bookViews>
    <workbookView xWindow="-120" yWindow="-120" windowWidth="20730" windowHeight="11160" tabRatio="882" activeTab="1"/>
  </bookViews>
  <sheets>
    <sheet name="Ins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concurrentCalc="0"/>
  <pivotCaches>
    <pivotCache cacheId="0" r:id="rId10"/>
  </pivotCaches>
</workbook>
</file>

<file path=xl/calcChain.xml><?xml version="1.0" encoding="utf-8"?>
<calcChain xmlns="http://schemas.openxmlformats.org/spreadsheetml/2006/main">
  <c r="J7" i="1" l="1"/>
  <c r="K7" i="1"/>
  <c r="S7" i="1"/>
  <c r="V7" i="1"/>
  <c r="Z7" i="1"/>
  <c r="S9" i="1"/>
  <c r="S10" i="1"/>
  <c r="S11" i="1"/>
  <c r="S8" i="1"/>
  <c r="V126" i="1"/>
  <c r="S126" i="1"/>
  <c r="V125" i="1"/>
  <c r="S125" i="1"/>
  <c r="V124" i="1"/>
  <c r="S124" i="1"/>
  <c r="V123" i="1"/>
  <c r="S123" i="1"/>
  <c r="V122" i="1"/>
  <c r="S122" i="1"/>
  <c r="V121" i="1"/>
  <c r="S121" i="1"/>
  <c r="J121" i="1"/>
  <c r="V120" i="1"/>
  <c r="S120" i="1"/>
  <c r="V119" i="1"/>
  <c r="S119" i="1"/>
  <c r="V118" i="1"/>
  <c r="S118" i="1"/>
  <c r="V117" i="1"/>
  <c r="S117" i="1"/>
  <c r="AD118" i="1"/>
  <c r="AC118" i="1"/>
  <c r="V116" i="1"/>
  <c r="S116" i="1"/>
  <c r="Z117" i="1"/>
  <c r="V115" i="1"/>
  <c r="S115" i="1"/>
  <c r="J115" i="1"/>
  <c r="V114" i="1"/>
  <c r="S114" i="1"/>
  <c r="V113" i="1"/>
  <c r="S113" i="1"/>
  <c r="V112" i="1"/>
  <c r="S112" i="1"/>
  <c r="V111" i="1"/>
  <c r="S111" i="1"/>
  <c r="V110" i="1"/>
  <c r="S110" i="1"/>
  <c r="V109" i="1"/>
  <c r="S109" i="1"/>
  <c r="AD109" i="1"/>
  <c r="AC109" i="1"/>
  <c r="J109" i="1"/>
  <c r="K109" i="1"/>
  <c r="V108" i="1"/>
  <c r="S108" i="1"/>
  <c r="V107" i="1"/>
  <c r="S107" i="1"/>
  <c r="S106" i="1"/>
  <c r="Z107" i="1"/>
  <c r="V106" i="1"/>
  <c r="V105" i="1"/>
  <c r="S105" i="1"/>
  <c r="V104" i="1"/>
  <c r="S104" i="1"/>
  <c r="V103" i="1"/>
  <c r="S103" i="1"/>
  <c r="J103" i="1"/>
  <c r="V102" i="1"/>
  <c r="S102" i="1"/>
  <c r="V101" i="1"/>
  <c r="S101" i="1"/>
  <c r="V100" i="1"/>
  <c r="S100" i="1"/>
  <c r="V99" i="1"/>
  <c r="S99" i="1"/>
  <c r="V98" i="1"/>
  <c r="S98" i="1"/>
  <c r="V97" i="1"/>
  <c r="S97" i="1"/>
  <c r="AD97" i="1"/>
  <c r="AC97" i="1"/>
  <c r="J97" i="1"/>
  <c r="K97" i="1"/>
  <c r="V96" i="1"/>
  <c r="S96" i="1"/>
  <c r="V95" i="1"/>
  <c r="S95" i="1"/>
  <c r="V94" i="1"/>
  <c r="S94" i="1"/>
  <c r="V93" i="1"/>
  <c r="S93" i="1"/>
  <c r="S92" i="1"/>
  <c r="Z93" i="1"/>
  <c r="V92" i="1"/>
  <c r="V91" i="1"/>
  <c r="S91" i="1"/>
  <c r="J91" i="1"/>
  <c r="V90" i="1"/>
  <c r="S90" i="1"/>
  <c r="V89" i="1"/>
  <c r="S89" i="1"/>
  <c r="V88" i="1"/>
  <c r="S88" i="1"/>
  <c r="V87" i="1"/>
  <c r="S87" i="1"/>
  <c r="V86" i="1"/>
  <c r="S86" i="1"/>
  <c r="V85" i="1"/>
  <c r="S85" i="1"/>
  <c r="AD85" i="1"/>
  <c r="AC85" i="1"/>
  <c r="J85" i="1"/>
  <c r="K85" i="1"/>
  <c r="V84" i="1"/>
  <c r="S84" i="1"/>
  <c r="V83" i="1"/>
  <c r="S83" i="1"/>
  <c r="V82" i="1"/>
  <c r="S82" i="1"/>
  <c r="V81" i="1"/>
  <c r="S81" i="1"/>
  <c r="V80" i="1"/>
  <c r="S80" i="1"/>
  <c r="Z81" i="1"/>
  <c r="V79" i="1"/>
  <c r="S79" i="1"/>
  <c r="J79" i="1"/>
  <c r="V78" i="1"/>
  <c r="S78" i="1"/>
  <c r="V77" i="1"/>
  <c r="S77" i="1"/>
  <c r="V76" i="1"/>
  <c r="S76" i="1"/>
  <c r="V75" i="1"/>
  <c r="S75" i="1"/>
  <c r="V74" i="1"/>
  <c r="S74" i="1"/>
  <c r="V73" i="1"/>
  <c r="S73" i="1"/>
  <c r="AD73" i="1"/>
  <c r="AC73" i="1"/>
  <c r="J73" i="1"/>
  <c r="K73" i="1"/>
  <c r="V72" i="1"/>
  <c r="S72" i="1"/>
  <c r="V71" i="1"/>
  <c r="S71" i="1"/>
  <c r="V70" i="1"/>
  <c r="S70" i="1"/>
  <c r="AD71" i="1"/>
  <c r="AC71" i="1"/>
  <c r="V69" i="1"/>
  <c r="S69" i="1"/>
  <c r="V68" i="1"/>
  <c r="S68" i="1"/>
  <c r="V67" i="1"/>
  <c r="S67" i="1"/>
  <c r="Z67" i="1"/>
  <c r="AB67" i="1"/>
  <c r="J67" i="1"/>
  <c r="M84" i="1"/>
  <c r="M104" i="1"/>
  <c r="M112" i="1"/>
  <c r="M83" i="1"/>
  <c r="M82" i="1"/>
  <c r="M101" i="1"/>
  <c r="M70" i="1"/>
  <c r="M77" i="1"/>
  <c r="M119" i="1"/>
  <c r="M114" i="1"/>
  <c r="M111" i="1"/>
  <c r="M86" i="1"/>
  <c r="M126" i="1"/>
  <c r="M74" i="1"/>
  <c r="M116" i="1"/>
  <c r="M89" i="1"/>
  <c r="M92" i="1"/>
  <c r="M80" i="1"/>
  <c r="M122" i="1"/>
  <c r="M107" i="1"/>
  <c r="M72" i="1"/>
  <c r="M71" i="1"/>
  <c r="M75" i="1"/>
  <c r="M120" i="1"/>
  <c r="M88" i="1"/>
  <c r="M69" i="1"/>
  <c r="M94" i="1"/>
  <c r="M99" i="1"/>
  <c r="M98" i="1"/>
  <c r="M100" i="1"/>
  <c r="M118" i="1"/>
  <c r="M76" i="1"/>
  <c r="M117" i="1"/>
  <c r="M125" i="1"/>
  <c r="M124" i="1"/>
  <c r="M102" i="1"/>
  <c r="M95" i="1"/>
  <c r="M110" i="1"/>
  <c r="M96" i="1"/>
  <c r="M78" i="1"/>
  <c r="M93" i="1"/>
  <c r="M68" i="1"/>
  <c r="M123" i="1"/>
  <c r="M113" i="1"/>
  <c r="M106" i="1"/>
  <c r="M105" i="1"/>
  <c r="M90" i="1"/>
  <c r="M108" i="1"/>
  <c r="M81" i="1"/>
  <c r="M87" i="1"/>
  <c r="AD90" i="1"/>
  <c r="AC90" i="1"/>
  <c r="AD124" i="1"/>
  <c r="AC124" i="1"/>
  <c r="Z78" i="1"/>
  <c r="AB78" i="1"/>
  <c r="AD107" i="1"/>
  <c r="AC107" i="1"/>
  <c r="AD114" i="1"/>
  <c r="AC114" i="1"/>
  <c r="AD111" i="1"/>
  <c r="AC111" i="1"/>
  <c r="AD122" i="1"/>
  <c r="AC122" i="1"/>
  <c r="AD100" i="1"/>
  <c r="AC100" i="1"/>
  <c r="AD80" i="1"/>
  <c r="AC80" i="1"/>
  <c r="AD87" i="1"/>
  <c r="AC87" i="1"/>
  <c r="AD104" i="1"/>
  <c r="AC104" i="1"/>
  <c r="Z109" i="1"/>
  <c r="AB109" i="1"/>
  <c r="Z100" i="1"/>
  <c r="AB100" i="1"/>
  <c r="AD117" i="1"/>
  <c r="AC117" i="1"/>
  <c r="AD67" i="1"/>
  <c r="AC67" i="1"/>
  <c r="Z71" i="1"/>
  <c r="AB71" i="1"/>
  <c r="AD75" i="1"/>
  <c r="AC75" i="1"/>
  <c r="Z90" i="1"/>
  <c r="AD93" i="1"/>
  <c r="AC93" i="1"/>
  <c r="AD78" i="1"/>
  <c r="AC78" i="1"/>
  <c r="AD72" i="1"/>
  <c r="AC72" i="1"/>
  <c r="AD77" i="1"/>
  <c r="AC77" i="1"/>
  <c r="AD101" i="1"/>
  <c r="AC101" i="1"/>
  <c r="AA109" i="1"/>
  <c r="AE109" i="1"/>
  <c r="Z124" i="1"/>
  <c r="AB124" i="1"/>
  <c r="Z121" i="1"/>
  <c r="AB121" i="1"/>
  <c r="Z110" i="1"/>
  <c r="AB110" i="1"/>
  <c r="AD70" i="1"/>
  <c r="AC70" i="1"/>
  <c r="Z74" i="1"/>
  <c r="AB74" i="1"/>
  <c r="Z86" i="1"/>
  <c r="Z103" i="1"/>
  <c r="AB103" i="1"/>
  <c r="AD110" i="1"/>
  <c r="AC110" i="1"/>
  <c r="AD74" i="1"/>
  <c r="AC74" i="1"/>
  <c r="AD86" i="1"/>
  <c r="AC86" i="1"/>
  <c r="AD94" i="1"/>
  <c r="AC94" i="1"/>
  <c r="AD103" i="1"/>
  <c r="AC103" i="1"/>
  <c r="AD108" i="1"/>
  <c r="AC108" i="1"/>
  <c r="AD112" i="1"/>
  <c r="AC112" i="1"/>
  <c r="Z114" i="1"/>
  <c r="AB114" i="1"/>
  <c r="AD68" i="1"/>
  <c r="AC68" i="1"/>
  <c r="AD125" i="1"/>
  <c r="AC125" i="1"/>
  <c r="AA81" i="1"/>
  <c r="AB81" i="1"/>
  <c r="AD84" i="1"/>
  <c r="AC84" i="1"/>
  <c r="Z84" i="1"/>
  <c r="AD96" i="1"/>
  <c r="AC96" i="1"/>
  <c r="Z96" i="1"/>
  <c r="AD95" i="1"/>
  <c r="AC95" i="1"/>
  <c r="Z95" i="1"/>
  <c r="AD120" i="1"/>
  <c r="AC120" i="1"/>
  <c r="Z120" i="1"/>
  <c r="K67" i="1"/>
  <c r="AA67" i="1"/>
  <c r="Z68" i="1"/>
  <c r="Z72" i="1"/>
  <c r="AA74" i="1"/>
  <c r="Z75" i="1"/>
  <c r="AA78" i="1"/>
  <c r="AE78" i="1"/>
  <c r="AD82" i="1"/>
  <c r="AC82" i="1"/>
  <c r="Z82" i="1"/>
  <c r="AD81" i="1"/>
  <c r="AC81" i="1"/>
  <c r="AB90" i="1"/>
  <c r="AA90" i="1"/>
  <c r="AE90" i="1"/>
  <c r="AD92" i="1"/>
  <c r="AC92" i="1"/>
  <c r="Z92" i="1"/>
  <c r="AD91" i="1"/>
  <c r="AC91" i="1"/>
  <c r="Z91" i="1"/>
  <c r="AD102" i="1"/>
  <c r="AC102" i="1"/>
  <c r="Z102" i="1"/>
  <c r="AD106" i="1"/>
  <c r="AC106" i="1"/>
  <c r="Z106" i="1"/>
  <c r="AD105" i="1"/>
  <c r="AC105" i="1"/>
  <c r="Z105" i="1"/>
  <c r="AD116" i="1"/>
  <c r="AC116" i="1"/>
  <c r="Z116" i="1"/>
  <c r="AD115" i="1"/>
  <c r="AC115" i="1"/>
  <c r="Z115" i="1"/>
  <c r="AD119" i="1"/>
  <c r="AC119" i="1"/>
  <c r="AD83" i="1"/>
  <c r="AC83" i="1"/>
  <c r="K103" i="1"/>
  <c r="Z76" i="1"/>
  <c r="AD76" i="1"/>
  <c r="AC76" i="1"/>
  <c r="Z79" i="1"/>
  <c r="AD79" i="1"/>
  <c r="AC79" i="1"/>
  <c r="Z83" i="1"/>
  <c r="AB86" i="1"/>
  <c r="AA86" i="1"/>
  <c r="AD99" i="1"/>
  <c r="AC99" i="1"/>
  <c r="Z99" i="1"/>
  <c r="AD98" i="1"/>
  <c r="AC98" i="1"/>
  <c r="Z98" i="1"/>
  <c r="AD123" i="1"/>
  <c r="AC123" i="1"/>
  <c r="Z123" i="1"/>
  <c r="AD126" i="1"/>
  <c r="AC126" i="1"/>
  <c r="AA100" i="1"/>
  <c r="Z69" i="1"/>
  <c r="AD69" i="1"/>
  <c r="AC69" i="1"/>
  <c r="Z70" i="1"/>
  <c r="Z73" i="1"/>
  <c r="Z77" i="1"/>
  <c r="K79" i="1"/>
  <c r="Z80" i="1"/>
  <c r="AD89" i="1"/>
  <c r="AC89" i="1"/>
  <c r="Z89" i="1"/>
  <c r="AD88" i="1"/>
  <c r="AC88" i="1"/>
  <c r="Z88" i="1"/>
  <c r="AB93" i="1"/>
  <c r="AA93" i="1"/>
  <c r="AE93" i="1"/>
  <c r="AB107" i="1"/>
  <c r="AA107" i="1"/>
  <c r="AE107" i="1"/>
  <c r="AD113" i="1"/>
  <c r="AC113" i="1"/>
  <c r="Z113" i="1"/>
  <c r="Z112" i="1"/>
  <c r="AB117" i="1"/>
  <c r="AA117" i="1"/>
  <c r="AE117" i="1"/>
  <c r="Z87" i="1"/>
  <c r="Z94" i="1"/>
  <c r="Z97" i="1"/>
  <c r="Z101" i="1"/>
  <c r="Z104" i="1"/>
  <c r="Z108" i="1"/>
  <c r="Z111" i="1"/>
  <c r="Z118" i="1"/>
  <c r="AD121" i="1"/>
  <c r="AC121" i="1"/>
  <c r="Z125" i="1"/>
  <c r="Z119" i="1"/>
  <c r="K121" i="1"/>
  <c r="AA121" i="1"/>
  <c r="Z122" i="1"/>
  <c r="Z126" i="1"/>
  <c r="Z85" i="1"/>
  <c r="K91" i="1"/>
  <c r="K115" i="1"/>
  <c r="AE121" i="1"/>
  <c r="AA103" i="1"/>
  <c r="AE103" i="1"/>
  <c r="AE67" i="1"/>
  <c r="AA114" i="1"/>
  <c r="AE114" i="1"/>
  <c r="AA71" i="1"/>
  <c r="AE71" i="1"/>
  <c r="AE100" i="1"/>
  <c r="AA124" i="1"/>
  <c r="AE124" i="1"/>
  <c r="AE74" i="1"/>
  <c r="AA110" i="1"/>
  <c r="AE110" i="1"/>
  <c r="AE86" i="1"/>
  <c r="AA115" i="1"/>
  <c r="AE115" i="1"/>
  <c r="AB115" i="1"/>
  <c r="AB106" i="1"/>
  <c r="AA106" i="1"/>
  <c r="AE106" i="1"/>
  <c r="AB120" i="1"/>
  <c r="AA120" i="1"/>
  <c r="AE120" i="1"/>
  <c r="AB104" i="1"/>
  <c r="AA104" i="1"/>
  <c r="AE104" i="1"/>
  <c r="AB87" i="1"/>
  <c r="AA87" i="1"/>
  <c r="AE87" i="1"/>
  <c r="AA112" i="1"/>
  <c r="AE112" i="1"/>
  <c r="AB112" i="1"/>
  <c r="AA88" i="1"/>
  <c r="AE88" i="1"/>
  <c r="AB88" i="1"/>
  <c r="AA80" i="1"/>
  <c r="AE80" i="1"/>
  <c r="AB80" i="1"/>
  <c r="AA70" i="1"/>
  <c r="AE70" i="1"/>
  <c r="AB70" i="1"/>
  <c r="AB123" i="1"/>
  <c r="AA123" i="1"/>
  <c r="AE123" i="1"/>
  <c r="AA98" i="1"/>
  <c r="AE98" i="1"/>
  <c r="AB98" i="1"/>
  <c r="AA79" i="1"/>
  <c r="AE79" i="1"/>
  <c r="AB79" i="1"/>
  <c r="AA122" i="1"/>
  <c r="AE122" i="1"/>
  <c r="AB122" i="1"/>
  <c r="AB125" i="1"/>
  <c r="AA125" i="1"/>
  <c r="AE125" i="1"/>
  <c r="AB108" i="1"/>
  <c r="AA108" i="1"/>
  <c r="AE108" i="1"/>
  <c r="AB94" i="1"/>
  <c r="AA94" i="1"/>
  <c r="AE94" i="1"/>
  <c r="AA91" i="1"/>
  <c r="AE91" i="1"/>
  <c r="AB91" i="1"/>
  <c r="AB96" i="1"/>
  <c r="AA96" i="1"/>
  <c r="AE96" i="1"/>
  <c r="AB85" i="1"/>
  <c r="AA85" i="1"/>
  <c r="AE85" i="1"/>
  <c r="AB118" i="1"/>
  <c r="AA118" i="1"/>
  <c r="AE118" i="1"/>
  <c r="AB101" i="1"/>
  <c r="AA101" i="1"/>
  <c r="AE101" i="1"/>
  <c r="AB113" i="1"/>
  <c r="AA113" i="1"/>
  <c r="AE113" i="1"/>
  <c r="AB116" i="1"/>
  <c r="AA116" i="1"/>
  <c r="AE116" i="1"/>
  <c r="AA105" i="1"/>
  <c r="AE105" i="1"/>
  <c r="AB105" i="1"/>
  <c r="AA102" i="1"/>
  <c r="AE102" i="1"/>
  <c r="AB102" i="1"/>
  <c r="AB92" i="1"/>
  <c r="AA92" i="1"/>
  <c r="AE92" i="1"/>
  <c r="AB75" i="1"/>
  <c r="AA75" i="1"/>
  <c r="AE75" i="1"/>
  <c r="AB68" i="1"/>
  <c r="AA68" i="1"/>
  <c r="AE68" i="1"/>
  <c r="AA95" i="1"/>
  <c r="AE95" i="1"/>
  <c r="AB95" i="1"/>
  <c r="AB84" i="1"/>
  <c r="AA84" i="1"/>
  <c r="AE84" i="1"/>
  <c r="AB73" i="1"/>
  <c r="AA73" i="1"/>
  <c r="AE73" i="1"/>
  <c r="AB72" i="1"/>
  <c r="AA72" i="1"/>
  <c r="AE72" i="1"/>
  <c r="AA126" i="1"/>
  <c r="AE126" i="1"/>
  <c r="AB126" i="1"/>
  <c r="AA119" i="1"/>
  <c r="AE119" i="1"/>
  <c r="AB119" i="1"/>
  <c r="AB111" i="1"/>
  <c r="AA111" i="1"/>
  <c r="AE111" i="1"/>
  <c r="AB97" i="1"/>
  <c r="AA97" i="1"/>
  <c r="AE97" i="1"/>
  <c r="AB89" i="1"/>
  <c r="AA89" i="1"/>
  <c r="AE89" i="1"/>
  <c r="AA77" i="1"/>
  <c r="AE77" i="1"/>
  <c r="AB77" i="1"/>
  <c r="AA69" i="1"/>
  <c r="AE69" i="1"/>
  <c r="AB69" i="1"/>
  <c r="AB99" i="1"/>
  <c r="AA99" i="1"/>
  <c r="AE99" i="1"/>
  <c r="AA83" i="1"/>
  <c r="AE83" i="1"/>
  <c r="AB83" i="1"/>
  <c r="AA76" i="1"/>
  <c r="AE76" i="1"/>
  <c r="AB76" i="1"/>
  <c r="AB82" i="1"/>
  <c r="AA82" i="1"/>
  <c r="AE82" i="1"/>
  <c r="AE81" i="1"/>
  <c r="AB7" i="1"/>
  <c r="Z8" i="1"/>
  <c r="M33" i="1"/>
  <c r="M34" i="1"/>
  <c r="M66" i="1"/>
  <c r="M63" i="1"/>
  <c r="M44" i="1"/>
  <c r="M48" i="1"/>
  <c r="M64" i="1"/>
  <c r="M51" i="1"/>
  <c r="M32" i="1"/>
  <c r="M38" i="1"/>
  <c r="M59" i="1"/>
  <c r="M40" i="1"/>
  <c r="M50" i="1"/>
  <c r="M15" i="1"/>
  <c r="M24" i="1"/>
  <c r="M22" i="1"/>
  <c r="M58" i="1"/>
  <c r="M17" i="1"/>
  <c r="M47" i="1"/>
  <c r="M30" i="1"/>
  <c r="M60" i="1"/>
  <c r="M20" i="1"/>
  <c r="M56" i="1"/>
  <c r="M18" i="1"/>
  <c r="M36" i="1"/>
  <c r="M46" i="1"/>
  <c r="M65" i="1"/>
  <c r="M27" i="1"/>
  <c r="M45" i="1"/>
  <c r="M62" i="1"/>
  <c r="M52" i="1"/>
  <c r="M39" i="1"/>
  <c r="M35" i="1"/>
  <c r="M23" i="1"/>
  <c r="M14" i="1"/>
  <c r="M54" i="1"/>
  <c r="M42" i="1"/>
  <c r="M41" i="1"/>
  <c r="M16" i="1"/>
  <c r="M28" i="1"/>
  <c r="M21" i="1"/>
  <c r="M57" i="1"/>
  <c r="M26" i="1"/>
  <c r="M53" i="1"/>
  <c r="M29" i="1"/>
  <c r="F221" i="13"/>
  <c r="F211" i="13"/>
  <c r="F212" i="13"/>
  <c r="F213" i="13"/>
  <c r="F214" i="13"/>
  <c r="F215" i="13"/>
  <c r="F216" i="13"/>
  <c r="F217" i="13"/>
  <c r="F218" i="13"/>
  <c r="F219" i="13"/>
  <c r="F220" i="13"/>
  <c r="F210" i="13"/>
  <c r="B221" i="13" a="1"/>
  <c r="B221" i="13"/>
  <c r="S49" i="1"/>
  <c r="S44" i="1"/>
  <c r="S38"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V66" i="1"/>
  <c r="S66" i="1"/>
  <c r="V65" i="1"/>
  <c r="S65" i="1"/>
  <c r="V64" i="1"/>
  <c r="S64" i="1"/>
  <c r="V63" i="1"/>
  <c r="S63" i="1"/>
  <c r="V62" i="1"/>
  <c r="S62" i="1"/>
  <c r="V61" i="1"/>
  <c r="S61" i="1"/>
  <c r="J61" i="1"/>
  <c r="K61" i="1"/>
  <c r="V60" i="1"/>
  <c r="S60" i="1"/>
  <c r="V59" i="1"/>
  <c r="S59" i="1"/>
  <c r="V58" i="1"/>
  <c r="S58" i="1"/>
  <c r="V57" i="1"/>
  <c r="S57" i="1"/>
  <c r="V56" i="1"/>
  <c r="S56" i="1"/>
  <c r="V55" i="1"/>
  <c r="S55" i="1"/>
  <c r="J55" i="1"/>
  <c r="K55" i="1"/>
  <c r="V54" i="1"/>
  <c r="S54" i="1"/>
  <c r="V53" i="1"/>
  <c r="S53" i="1"/>
  <c r="V52" i="1"/>
  <c r="S52" i="1"/>
  <c r="V51" i="1"/>
  <c r="S51" i="1"/>
  <c r="V50" i="1"/>
  <c r="S50" i="1"/>
  <c r="V49" i="1"/>
  <c r="J49" i="1"/>
  <c r="K49" i="1"/>
  <c r="V48" i="1"/>
  <c r="S48" i="1"/>
  <c r="V47" i="1"/>
  <c r="S47" i="1"/>
  <c r="V46" i="1"/>
  <c r="S46" i="1"/>
  <c r="V45" i="1"/>
  <c r="S45" i="1"/>
  <c r="V44" i="1"/>
  <c r="V43" i="1"/>
  <c r="S43" i="1"/>
  <c r="J43" i="1"/>
  <c r="K43" i="1"/>
  <c r="V42" i="1"/>
  <c r="S42" i="1"/>
  <c r="V41" i="1"/>
  <c r="S41" i="1"/>
  <c r="V40" i="1"/>
  <c r="S40" i="1"/>
  <c r="V39" i="1"/>
  <c r="S39" i="1"/>
  <c r="V38" i="1"/>
  <c r="V37" i="1"/>
  <c r="S37" i="1"/>
  <c r="J37" i="1"/>
  <c r="K37" i="1"/>
  <c r="V36" i="1"/>
  <c r="S36" i="1"/>
  <c r="V35" i="1"/>
  <c r="S35" i="1"/>
  <c r="V34" i="1"/>
  <c r="S34" i="1"/>
  <c r="V33" i="1"/>
  <c r="S33" i="1"/>
  <c r="V32" i="1"/>
  <c r="S32" i="1"/>
  <c r="V31" i="1"/>
  <c r="S31" i="1"/>
  <c r="J31" i="1"/>
  <c r="K31" i="1"/>
  <c r="V30" i="1"/>
  <c r="S30" i="1"/>
  <c r="V29" i="1"/>
  <c r="S29" i="1"/>
  <c r="V28" i="1"/>
  <c r="S28" i="1"/>
  <c r="V27" i="1"/>
  <c r="S27" i="1"/>
  <c r="V26" i="1"/>
  <c r="S26" i="1"/>
  <c r="V25" i="1"/>
  <c r="S25" i="1"/>
  <c r="J25" i="1"/>
  <c r="K25" i="1"/>
  <c r="V24" i="1"/>
  <c r="S24" i="1"/>
  <c r="V23" i="1"/>
  <c r="S23" i="1"/>
  <c r="V22" i="1"/>
  <c r="S22" i="1"/>
  <c r="V21" i="1"/>
  <c r="S21" i="1"/>
  <c r="V20" i="1"/>
  <c r="S20" i="1"/>
  <c r="V19" i="1"/>
  <c r="S19" i="1"/>
  <c r="J19" i="1"/>
  <c r="K19" i="1"/>
  <c r="J13" i="1"/>
  <c r="S12" i="1"/>
  <c r="V18" i="1"/>
  <c r="S18" i="1"/>
  <c r="V17" i="1"/>
  <c r="S17" i="1"/>
  <c r="V16" i="1"/>
  <c r="S16" i="1"/>
  <c r="V15" i="1"/>
  <c r="S15" i="1"/>
  <c r="V14" i="1"/>
  <c r="S14" i="1"/>
  <c r="V13" i="1"/>
  <c r="S13" i="1"/>
  <c r="AD47" i="1"/>
  <c r="AC47" i="1"/>
  <c r="AD48" i="1"/>
  <c r="AC48" i="1"/>
  <c r="K13" i="1"/>
  <c r="Z61" i="1"/>
  <c r="Z55" i="1"/>
  <c r="Z49" i="1"/>
  <c r="Z43" i="1"/>
  <c r="Z47" i="1"/>
  <c r="Z48" i="1"/>
  <c r="Z37" i="1"/>
  <c r="Z31" i="1"/>
  <c r="Z25" i="1"/>
  <c r="Z19" i="1"/>
  <c r="Z13" i="1"/>
  <c r="AA61" i="1"/>
  <c r="AB61" i="1"/>
  <c r="Z62" i="1"/>
  <c r="AA62" i="1"/>
  <c r="AA55" i="1"/>
  <c r="AB55" i="1"/>
  <c r="Z56" i="1"/>
  <c r="AB56" i="1"/>
  <c r="Z57" i="1"/>
  <c r="AA49" i="1"/>
  <c r="AB49" i="1"/>
  <c r="Z50" i="1"/>
  <c r="AB50" i="1"/>
  <c r="Z51" i="1"/>
  <c r="AA48" i="1"/>
  <c r="AB48" i="1"/>
  <c r="AA47" i="1"/>
  <c r="AB47" i="1"/>
  <c r="AA43" i="1"/>
  <c r="AB43" i="1"/>
  <c r="AA37" i="1"/>
  <c r="AB37" i="1"/>
  <c r="Z38" i="1"/>
  <c r="AB38" i="1"/>
  <c r="Z39" i="1"/>
  <c r="AA31" i="1"/>
  <c r="AB31" i="1"/>
  <c r="AA25" i="1"/>
  <c r="AB25" i="1"/>
  <c r="Z26" i="1"/>
  <c r="AB26" i="1"/>
  <c r="Z27" i="1"/>
  <c r="AA27" i="1"/>
  <c r="AA19" i="1"/>
  <c r="AB19" i="1"/>
  <c r="Z20" i="1"/>
  <c r="AA20" i="1"/>
  <c r="AA13" i="1"/>
  <c r="AB13" i="1"/>
  <c r="Z14" i="1"/>
  <c r="AA56" i="1"/>
  <c r="AA50" i="1"/>
  <c r="AB20" i="1"/>
  <c r="Z21" i="1"/>
  <c r="AA21" i="1"/>
  <c r="AA38" i="1"/>
  <c r="AA26" i="1"/>
  <c r="AA39" i="1"/>
  <c r="AB39" i="1"/>
  <c r="AB57" i="1"/>
  <c r="Z58" i="1"/>
  <c r="AA57" i="1"/>
  <c r="AB51" i="1"/>
  <c r="Z52" i="1"/>
  <c r="AA51" i="1"/>
  <c r="AB62" i="1"/>
  <c r="Z63" i="1"/>
  <c r="Z32" i="1"/>
  <c r="Z44" i="1"/>
  <c r="Z45" i="1"/>
  <c r="AB27"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E47" i="1"/>
  <c r="AE48" i="1"/>
  <c r="V9" i="1"/>
  <c r="V10" i="1"/>
  <c r="V11" i="1"/>
  <c r="V12" i="1"/>
  <c r="AA58" i="1"/>
  <c r="AB58" i="1"/>
  <c r="AA52" i="1"/>
  <c r="AB52" i="1"/>
  <c r="Z53" i="1"/>
  <c r="AB21" i="1"/>
  <c r="Z22" i="1"/>
  <c r="AB22" i="1"/>
  <c r="AA45" i="1"/>
  <c r="AB45" i="1"/>
  <c r="Z46" i="1"/>
  <c r="AA63" i="1"/>
  <c r="AB63" i="1"/>
  <c r="Z64" i="1"/>
  <c r="AA44" i="1"/>
  <c r="AB44" i="1"/>
  <c r="Z40" i="1"/>
  <c r="AA32" i="1"/>
  <c r="AB32" i="1"/>
  <c r="Z33" i="1"/>
  <c r="AA33" i="1"/>
  <c r="Z29" i="1"/>
  <c r="AA29" i="1"/>
  <c r="Z28" i="1"/>
  <c r="AA14" i="1"/>
  <c r="AB14" i="1"/>
  <c r="Z15" i="1"/>
  <c r="AA15" i="1"/>
  <c r="AB33" i="1"/>
  <c r="Z34" i="1"/>
  <c r="AB34" i="1"/>
  <c r="Z35" i="1"/>
  <c r="AA53" i="1"/>
  <c r="AB53" i="1"/>
  <c r="Z54" i="1"/>
  <c r="Z59" i="1"/>
  <c r="Z60" i="1"/>
  <c r="AA22" i="1"/>
  <c r="AA40" i="1"/>
  <c r="AB40" i="1"/>
  <c r="Z41" i="1"/>
  <c r="AA41" i="1"/>
  <c r="AA46" i="1"/>
  <c r="AB46" i="1"/>
  <c r="Z23" i="1"/>
  <c r="AB64" i="1"/>
  <c r="AA64" i="1"/>
  <c r="AA28" i="1"/>
  <c r="AB28" i="1"/>
  <c r="AB29" i="1"/>
  <c r="Z30" i="1"/>
  <c r="AB15" i="1"/>
  <c r="Z16" i="1"/>
  <c r="AA16" i="1"/>
  <c r="AA34" i="1"/>
  <c r="AA60" i="1"/>
  <c r="AB60" i="1"/>
  <c r="AA59" i="1"/>
  <c r="AB59" i="1"/>
  <c r="AA54" i="1"/>
  <c r="AB54" i="1"/>
  <c r="Z65" i="1"/>
  <c r="Z66" i="1"/>
  <c r="AB41" i="1"/>
  <c r="Z42" i="1"/>
  <c r="AA42" i="1"/>
  <c r="AB35" i="1"/>
  <c r="Z36" i="1"/>
  <c r="AA35" i="1"/>
  <c r="AA23" i="1"/>
  <c r="AB23" i="1"/>
  <c r="Z24" i="1"/>
  <c r="AA24" i="1"/>
  <c r="AA30" i="1"/>
  <c r="AB30" i="1"/>
  <c r="AB16" i="1"/>
  <c r="Z17" i="1"/>
  <c r="AB17" i="1"/>
  <c r="Z18" i="1"/>
  <c r="AA7" i="1"/>
  <c r="AA66" i="1"/>
  <c r="AB66" i="1"/>
  <c r="AA65" i="1"/>
  <c r="AB65" i="1"/>
  <c r="AA36" i="1"/>
  <c r="AB36" i="1"/>
  <c r="AB42" i="1"/>
  <c r="AB24" i="1"/>
  <c r="AA17" i="1"/>
  <c r="AA18" i="1"/>
  <c r="AB18" i="1"/>
  <c r="AA8" i="1"/>
  <c r="AB8" i="1"/>
  <c r="Z9" i="1"/>
  <c r="AA9" i="1"/>
  <c r="AB9" i="1"/>
  <c r="Z10" i="1"/>
  <c r="AB10" i="1"/>
  <c r="Z11" i="1"/>
  <c r="AA11" i="1"/>
  <c r="AB11" i="1"/>
  <c r="Z12" i="1"/>
  <c r="AA10" i="1"/>
  <c r="AA12" i="1"/>
  <c r="AB12" i="1"/>
  <c r="B223" i="13"/>
  <c r="B222" i="13"/>
  <c r="M121" i="1"/>
  <c r="N121" i="1"/>
  <c r="M85" i="1"/>
  <c r="N85" i="1"/>
  <c r="M91" i="1"/>
  <c r="N91" i="1"/>
  <c r="M97" i="1"/>
  <c r="N97" i="1"/>
  <c r="M67" i="1"/>
  <c r="N67" i="1"/>
  <c r="M79" i="1"/>
  <c r="N79" i="1"/>
  <c r="M109" i="1"/>
  <c r="N109" i="1"/>
  <c r="M103" i="1"/>
  <c r="N103" i="1"/>
  <c r="M73" i="1"/>
  <c r="N73" i="1"/>
  <c r="M115" i="1"/>
  <c r="N115" i="1"/>
  <c r="M37" i="1"/>
  <c r="N37" i="1"/>
  <c r="M25" i="1"/>
  <c r="N25" i="1"/>
  <c r="M19" i="1"/>
  <c r="N19" i="1"/>
  <c r="M49" i="1"/>
  <c r="N49" i="1"/>
  <c r="M43" i="1"/>
  <c r="N43" i="1"/>
  <c r="M31" i="1"/>
  <c r="N31" i="1"/>
  <c r="M61" i="1"/>
  <c r="N61" i="1"/>
  <c r="M55" i="1"/>
  <c r="N55" i="1"/>
  <c r="M13" i="1"/>
  <c r="N13" i="1"/>
  <c r="O103" i="1"/>
  <c r="P103" i="1"/>
  <c r="O109" i="1"/>
  <c r="P109" i="1"/>
  <c r="O91" i="1"/>
  <c r="P91" i="1"/>
  <c r="O115" i="1"/>
  <c r="P115" i="1"/>
  <c r="O79" i="1"/>
  <c r="P79" i="1"/>
  <c r="O85" i="1"/>
  <c r="P85" i="1"/>
  <c r="P97" i="1"/>
  <c r="O97" i="1"/>
  <c r="O73" i="1"/>
  <c r="P73" i="1"/>
  <c r="O67" i="1"/>
  <c r="P67" i="1"/>
  <c r="O121" i="1"/>
  <c r="P121" i="1"/>
  <c r="Z42" i="18"/>
  <c r="N42" i="18"/>
  <c r="AF26" i="18"/>
  <c r="N26" i="18"/>
  <c r="AF18" i="18"/>
  <c r="T10" i="18"/>
  <c r="N34" i="18"/>
  <c r="T34" i="18"/>
  <c r="T18" i="18"/>
  <c r="Z18" i="18"/>
  <c r="Z10" i="18"/>
  <c r="AL18" i="18"/>
  <c r="Z26" i="18"/>
  <c r="P55" i="1"/>
  <c r="O55"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O49" i="1"/>
  <c r="AJ42" i="18"/>
  <c r="AJ18" i="18"/>
  <c r="AD26" i="18"/>
  <c r="L10" i="18"/>
  <c r="AD10" i="18"/>
  <c r="X18" i="18"/>
  <c r="AD42" i="18"/>
  <c r="L18" i="18"/>
  <c r="R10" i="18"/>
  <c r="P49" i="1"/>
  <c r="O61" i="1"/>
  <c r="AD61" i="1"/>
  <c r="AB36" i="18"/>
  <c r="AH12" i="18"/>
  <c r="P28" i="18"/>
  <c r="AH20" i="18"/>
  <c r="P36" i="18"/>
  <c r="V12" i="18"/>
  <c r="AH28" i="18"/>
  <c r="AB20" i="18"/>
  <c r="J12" i="18"/>
  <c r="J20" i="18"/>
  <c r="P61" i="1"/>
  <c r="P44" i="18"/>
  <c r="AB44" i="18"/>
  <c r="V28" i="18"/>
  <c r="V36" i="18"/>
  <c r="J28" i="18"/>
  <c r="AH36" i="18"/>
  <c r="J44" i="18"/>
  <c r="P12" i="18"/>
  <c r="AB12" i="18"/>
  <c r="V44" i="18"/>
  <c r="AH44" i="18"/>
  <c r="V20" i="18"/>
  <c r="P20" i="18"/>
  <c r="J36" i="18"/>
  <c r="AB28" i="18"/>
  <c r="T38" i="18"/>
  <c r="AF22" i="18"/>
  <c r="N38" i="18"/>
  <c r="AF30" i="18"/>
  <c r="AL6" i="18"/>
  <c r="Z6" i="18"/>
  <c r="P19" i="1"/>
  <c r="T14" i="18"/>
  <c r="T22" i="18"/>
  <c r="N6" i="18"/>
  <c r="AL30" i="18"/>
  <c r="Z22" i="18"/>
  <c r="Z14" i="18"/>
  <c r="O19" i="1"/>
  <c r="Z30" i="18"/>
  <c r="AL38" i="18"/>
  <c r="AL14" i="18"/>
  <c r="AF6" i="18"/>
  <c r="AL22" i="18"/>
  <c r="T30" i="18"/>
  <c r="Z38" i="18"/>
  <c r="AF14" i="18"/>
  <c r="N30" i="18"/>
  <c r="N14" i="18"/>
  <c r="N22" i="18"/>
  <c r="AF38" i="18"/>
  <c r="T6" i="18"/>
  <c r="O31" i="1"/>
  <c r="X32" i="18"/>
  <c r="AD32" i="18"/>
  <c r="AJ8" i="18"/>
  <c r="L16" i="18"/>
  <c r="R32" i="18"/>
  <c r="AJ32" i="18"/>
  <c r="P31" i="1"/>
  <c r="R40" i="18"/>
  <c r="AJ40" i="18"/>
  <c r="AD24" i="18"/>
  <c r="AJ24" i="18"/>
  <c r="R24" i="18"/>
  <c r="AJ16" i="18"/>
  <c r="AD8" i="18"/>
  <c r="L32" i="18"/>
  <c r="L40" i="18"/>
  <c r="R16" i="18"/>
  <c r="L24" i="18"/>
  <c r="AD16" i="18"/>
  <c r="L8" i="18"/>
  <c r="R8" i="18"/>
  <c r="X40" i="18"/>
  <c r="X8" i="18"/>
  <c r="X16" i="18"/>
  <c r="AD40" i="18"/>
  <c r="X24" i="18"/>
  <c r="O25" i="1"/>
  <c r="J40" i="18"/>
  <c r="J16" i="18"/>
  <c r="P16" i="18"/>
  <c r="V8" i="18"/>
  <c r="J8" i="18"/>
  <c r="J24" i="18"/>
  <c r="AH16" i="18"/>
  <c r="AB16" i="18"/>
  <c r="AB40" i="18"/>
  <c r="P32" i="18"/>
  <c r="P40" i="18"/>
  <c r="AH24" i="18"/>
  <c r="AB32" i="18"/>
  <c r="J32" i="18"/>
  <c r="V16" i="18"/>
  <c r="V40" i="18"/>
  <c r="AH32" i="18"/>
  <c r="V24" i="18"/>
  <c r="V32" i="18"/>
  <c r="AH8" i="18"/>
  <c r="AB8" i="18"/>
  <c r="P8" i="18"/>
  <c r="P25" i="1"/>
  <c r="AH40" i="18"/>
  <c r="AB24" i="18"/>
  <c r="P24" i="18"/>
  <c r="AD38" i="18"/>
  <c r="L30" i="18"/>
  <c r="AD30" i="18"/>
  <c r="AJ6" i="18"/>
  <c r="L14" i="18"/>
  <c r="L22" i="18"/>
  <c r="X6" i="18"/>
  <c r="L6" i="18"/>
  <c r="P13" i="1"/>
  <c r="R38" i="18"/>
  <c r="AJ38" i="18"/>
  <c r="L38" i="18"/>
  <c r="AD6" i="18"/>
  <c r="R6" i="18"/>
  <c r="AJ30" i="18"/>
  <c r="R30" i="18"/>
  <c r="AD22" i="18"/>
  <c r="AJ14" i="18"/>
  <c r="AJ22" i="18"/>
  <c r="AD14" i="18"/>
  <c r="X38" i="18"/>
  <c r="X14" i="18"/>
  <c r="R22" i="18"/>
  <c r="X22" i="18"/>
  <c r="O13"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D7" i="1"/>
  <c r="O43" i="1"/>
  <c r="AH34" i="18"/>
  <c r="AH42" i="18"/>
  <c r="AH18" i="18"/>
  <c r="AB10" i="18"/>
  <c r="J26" i="18"/>
  <c r="V18" i="18"/>
  <c r="V42" i="18"/>
  <c r="J42" i="18"/>
  <c r="P10" i="18"/>
  <c r="AB26" i="18"/>
  <c r="J34" i="18"/>
  <c r="J18" i="18"/>
  <c r="AH10" i="18"/>
  <c r="AB34" i="18"/>
  <c r="P26" i="18"/>
  <c r="P34" i="18"/>
  <c r="V34" i="18"/>
  <c r="AH26" i="18"/>
  <c r="J10" i="18"/>
  <c r="P43" i="1"/>
  <c r="P18" i="18"/>
  <c r="AB42" i="18"/>
  <c r="V10" i="18"/>
  <c r="AB18" i="18"/>
  <c r="P42" i="18"/>
  <c r="V26" i="18"/>
  <c r="Z32" i="18"/>
  <c r="N24" i="18"/>
  <c r="AL32" i="18"/>
  <c r="AL40" i="18"/>
  <c r="N8" i="18"/>
  <c r="AF24" i="18"/>
  <c r="Z40" i="18"/>
  <c r="Z16" i="18"/>
  <c r="N32" i="18"/>
  <c r="T32" i="18"/>
  <c r="N40" i="18"/>
  <c r="T8" i="18"/>
  <c r="O37" i="1"/>
  <c r="AF32" i="18"/>
  <c r="AL8" i="18"/>
  <c r="T24" i="18"/>
  <c r="N16" i="18"/>
  <c r="T16" i="18"/>
  <c r="Z24" i="18"/>
  <c r="AF16" i="18"/>
  <c r="P37" i="1"/>
  <c r="T40" i="18"/>
  <c r="AF8" i="18"/>
  <c r="AL24" i="18"/>
  <c r="Z8" i="18"/>
  <c r="AF40" i="18"/>
  <c r="AL16" i="18"/>
  <c r="AD26" i="1"/>
  <c r="AD25" i="1"/>
  <c r="AC25" i="1"/>
  <c r="AC61" i="1"/>
  <c r="AD63" i="1"/>
  <c r="AD56" i="1"/>
  <c r="AD55" i="1"/>
  <c r="AD38" i="1"/>
  <c r="AD37" i="1"/>
  <c r="AC37" i="1"/>
  <c r="AD50" i="1"/>
  <c r="AD49" i="1"/>
  <c r="AC49" i="1"/>
  <c r="AC7" i="1"/>
  <c r="AD8" i="1"/>
  <c r="AD14" i="1"/>
  <c r="AD13" i="1"/>
  <c r="AC13" i="1"/>
  <c r="AD20" i="1"/>
  <c r="AD19" i="1"/>
  <c r="AC19" i="1"/>
  <c r="AD44" i="1"/>
  <c r="AD43" i="1"/>
  <c r="AC43" i="1"/>
  <c r="AD32" i="1"/>
  <c r="AD31" i="1"/>
  <c r="AC31" i="1"/>
  <c r="J40" i="19"/>
  <c r="V30" i="19"/>
  <c r="AH20" i="19"/>
  <c r="J30" i="19"/>
  <c r="V20" i="19"/>
  <c r="AH10" i="19"/>
  <c r="P10" i="19"/>
  <c r="AB50" i="19"/>
  <c r="J50" i="19"/>
  <c r="AB40" i="19"/>
  <c r="P30" i="19"/>
  <c r="V50" i="19"/>
  <c r="P50" i="19"/>
  <c r="AB10" i="19"/>
  <c r="AH30" i="19"/>
  <c r="AH40" i="19"/>
  <c r="J10" i="19"/>
  <c r="AB20" i="19"/>
  <c r="AH50" i="19"/>
  <c r="AE31" i="1"/>
  <c r="V10" i="19"/>
  <c r="P20" i="19"/>
  <c r="J20" i="19"/>
  <c r="P40" i="19"/>
  <c r="V40" i="19"/>
  <c r="AB30" i="19"/>
  <c r="J11" i="19"/>
  <c r="V11" i="19"/>
  <c r="AB21" i="19"/>
  <c r="P31" i="19"/>
  <c r="J31" i="19"/>
  <c r="AB41" i="19"/>
  <c r="AE37" i="1"/>
  <c r="AH41" i="19"/>
  <c r="P41" i="19"/>
  <c r="J21" i="19"/>
  <c r="AB31" i="19"/>
  <c r="AB51" i="19"/>
  <c r="P21" i="19"/>
  <c r="V41" i="19"/>
  <c r="V31" i="19"/>
  <c r="AH21" i="19"/>
  <c r="AB11" i="19"/>
  <c r="P51" i="19"/>
  <c r="V21" i="19"/>
  <c r="AH31" i="19"/>
  <c r="V51" i="19"/>
  <c r="J51" i="19"/>
  <c r="AH51" i="19"/>
  <c r="AH11" i="19"/>
  <c r="J41" i="19"/>
  <c r="P11" i="19"/>
  <c r="AC20" i="1"/>
  <c r="AD21" i="1"/>
  <c r="AB36" i="19"/>
  <c r="AH16" i="19"/>
  <c r="P16" i="19"/>
  <c r="V46" i="19"/>
  <c r="J6" i="19"/>
  <c r="AB16" i="19"/>
  <c r="V26" i="19"/>
  <c r="V16" i="19"/>
  <c r="AB6" i="19"/>
  <c r="J26" i="19"/>
  <c r="P6" i="19"/>
  <c r="AH46" i="19"/>
  <c r="P46" i="19"/>
  <c r="AH26" i="19"/>
  <c r="AH36" i="19"/>
  <c r="V36" i="19"/>
  <c r="P36" i="19"/>
  <c r="V6" i="19"/>
  <c r="AH6" i="19"/>
  <c r="AB46" i="19"/>
  <c r="AB26" i="19"/>
  <c r="J16" i="19"/>
  <c r="P26" i="19"/>
  <c r="AE7" i="1"/>
  <c r="J36" i="19"/>
  <c r="J46" i="19"/>
  <c r="V25" i="19"/>
  <c r="AH25" i="19"/>
  <c r="P45" i="19"/>
  <c r="AH45" i="19"/>
  <c r="AH15" i="19"/>
  <c r="AB55" i="19"/>
  <c r="J45" i="19"/>
  <c r="AH35" i="19"/>
  <c r="V45" i="19"/>
  <c r="AH55" i="19"/>
  <c r="V15" i="19"/>
  <c r="J25" i="19"/>
  <c r="V35" i="19"/>
  <c r="AE61" i="1"/>
  <c r="P25" i="19"/>
  <c r="V55" i="19"/>
  <c r="J15" i="19"/>
  <c r="AB15" i="19"/>
  <c r="J35" i="19"/>
  <c r="AB35" i="19"/>
  <c r="J55" i="19"/>
  <c r="AB25" i="19"/>
  <c r="P35" i="19"/>
  <c r="P55" i="19"/>
  <c r="AB45" i="19"/>
  <c r="P15" i="19"/>
  <c r="J47" i="19"/>
  <c r="V27" i="19"/>
  <c r="AH7" i="19"/>
  <c r="P47" i="19"/>
  <c r="AB27" i="19"/>
  <c r="J17" i="19"/>
  <c r="V47" i="19"/>
  <c r="J37" i="19"/>
  <c r="AE13" i="1"/>
  <c r="AB37" i="19"/>
  <c r="J27" i="19"/>
  <c r="V7" i="19"/>
  <c r="AH37" i="19"/>
  <c r="P27" i="19"/>
  <c r="AB7" i="19"/>
  <c r="P17" i="19"/>
  <c r="V17" i="19"/>
  <c r="AH47" i="19"/>
  <c r="P37" i="19"/>
  <c r="AB17" i="19"/>
  <c r="J7" i="19"/>
  <c r="V37" i="19"/>
  <c r="AH17" i="19"/>
  <c r="P7" i="19"/>
  <c r="AH27" i="19"/>
  <c r="AB47" i="19"/>
  <c r="AE49"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55" i="1"/>
  <c r="AD62" i="1"/>
  <c r="AC62" i="1"/>
  <c r="AE25"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E19"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D9" i="1"/>
  <c r="AC8" i="1"/>
  <c r="AC63" i="1"/>
  <c r="AD64" i="1"/>
  <c r="AD33" i="1"/>
  <c r="AC32" i="1"/>
  <c r="AC38" i="1"/>
  <c r="AD39" i="1"/>
  <c r="AC39" i="1"/>
  <c r="AD40" i="1"/>
  <c r="V32" i="19"/>
  <c r="P42" i="19"/>
  <c r="J12" i="19"/>
  <c r="J32" i="19"/>
  <c r="AB52" i="19"/>
  <c r="AE43" i="1"/>
  <c r="J22" i="19"/>
  <c r="V22" i="19"/>
  <c r="J52" i="19"/>
  <c r="AH12" i="19"/>
  <c r="J42" i="19"/>
  <c r="AH42" i="19"/>
  <c r="P32" i="19"/>
  <c r="AB12" i="19"/>
  <c r="AH32" i="19"/>
  <c r="AB32" i="19"/>
  <c r="AB42" i="19"/>
  <c r="V42" i="19"/>
  <c r="V12" i="19"/>
  <c r="V52" i="19"/>
  <c r="AB22" i="19"/>
  <c r="AH52" i="19"/>
  <c r="AH22" i="19"/>
  <c r="P22" i="19"/>
  <c r="P12" i="19"/>
  <c r="P52" i="19"/>
  <c r="AD45" i="1"/>
  <c r="AC45" i="1"/>
  <c r="AD46" i="1"/>
  <c r="AC46" i="1"/>
  <c r="AC44" i="1"/>
  <c r="AD15" i="1"/>
  <c r="AC14" i="1"/>
  <c r="AC50" i="1"/>
  <c r="AD51" i="1"/>
  <c r="AC56" i="1"/>
  <c r="AD57" i="1"/>
  <c r="AC26" i="1"/>
  <c r="AD27" i="1"/>
  <c r="W37" i="19"/>
  <c r="AI7" i="19"/>
  <c r="W17" i="19"/>
  <c r="W27" i="19"/>
  <c r="Q47" i="19"/>
  <c r="W7" i="19"/>
  <c r="AI17" i="19"/>
  <c r="K47" i="19"/>
  <c r="AI47" i="19"/>
  <c r="Q27" i="19"/>
  <c r="AC27" i="19"/>
  <c r="AC47" i="19"/>
  <c r="AC37" i="19"/>
  <c r="AI37" i="19"/>
  <c r="AE14" i="1"/>
  <c r="AC17" i="19"/>
  <c r="K37" i="19"/>
  <c r="AC7" i="19"/>
  <c r="W47" i="19"/>
  <c r="Q37" i="19"/>
  <c r="AI27" i="19"/>
  <c r="Q7" i="19"/>
  <c r="K27" i="19"/>
  <c r="K17" i="19"/>
  <c r="K7" i="19"/>
  <c r="Q17" i="19"/>
  <c r="AC64" i="1"/>
  <c r="AD65" i="1"/>
  <c r="K35" i="19"/>
  <c r="AC25" i="19"/>
  <c r="K45" i="19"/>
  <c r="AI45" i="19"/>
  <c r="W45" i="19"/>
  <c r="Q35" i="19"/>
  <c r="K55" i="19"/>
  <c r="AC15" i="19"/>
  <c r="Q15" i="19"/>
  <c r="AC35" i="19"/>
  <c r="AI35" i="19"/>
  <c r="Q55" i="19"/>
  <c r="AI25" i="19"/>
  <c r="AE62"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E56"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E38" i="1"/>
  <c r="AD55" i="19"/>
  <c r="R15" i="19"/>
  <c r="AJ35" i="19"/>
  <c r="AE63"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E55"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E45" i="1"/>
  <c r="AD12" i="19"/>
  <c r="AD32" i="19"/>
  <c r="AD22" i="19"/>
  <c r="X52" i="19"/>
  <c r="AD52" i="19"/>
  <c r="L42" i="19"/>
  <c r="R42" i="19"/>
  <c r="AJ21" i="19"/>
  <c r="AD31" i="19"/>
  <c r="R21" i="19"/>
  <c r="AD41" i="19"/>
  <c r="AJ11" i="19"/>
  <c r="AJ51" i="19"/>
  <c r="AE39" i="1"/>
  <c r="L41" i="19"/>
  <c r="AD11" i="19"/>
  <c r="L21" i="19"/>
  <c r="L11" i="19"/>
  <c r="X51" i="19"/>
  <c r="X21" i="19"/>
  <c r="R11" i="19"/>
  <c r="R31" i="19"/>
  <c r="AJ41" i="19"/>
  <c r="L31" i="19"/>
  <c r="R51" i="19"/>
  <c r="X31" i="19"/>
  <c r="X11" i="19"/>
  <c r="X41" i="19"/>
  <c r="AJ31" i="19"/>
  <c r="AD51" i="19"/>
  <c r="R41" i="19"/>
  <c r="AD21" i="19"/>
  <c r="L51" i="19"/>
  <c r="AD16" i="1"/>
  <c r="AC15" i="1"/>
  <c r="AC27" i="1"/>
  <c r="AD28" i="1"/>
  <c r="AC51" i="1"/>
  <c r="AD52" i="1"/>
  <c r="K42" i="19"/>
  <c r="AC32" i="19"/>
  <c r="W42" i="19"/>
  <c r="AI52" i="19"/>
  <c r="K22" i="19"/>
  <c r="Q32" i="19"/>
  <c r="AI12" i="19"/>
  <c r="AC52" i="19"/>
  <c r="Q42" i="19"/>
  <c r="AC42" i="19"/>
  <c r="K12" i="19"/>
  <c r="Q22" i="19"/>
  <c r="W52" i="19"/>
  <c r="AI42" i="19"/>
  <c r="W32" i="19"/>
  <c r="AI22" i="19"/>
  <c r="W12" i="19"/>
  <c r="AI32" i="19"/>
  <c r="AC12" i="19"/>
  <c r="Q12" i="19"/>
  <c r="Q52" i="19"/>
  <c r="AE44" i="1"/>
  <c r="K32" i="19"/>
  <c r="W22" i="19"/>
  <c r="K52" i="19"/>
  <c r="AC22" i="19"/>
  <c r="AC40" i="19"/>
  <c r="W10" i="19"/>
  <c r="AC50" i="19"/>
  <c r="Q10" i="19"/>
  <c r="Q30" i="19"/>
  <c r="W50" i="19"/>
  <c r="K40" i="19"/>
  <c r="Q50" i="19"/>
  <c r="W20" i="19"/>
  <c r="AE32" i="1"/>
  <c r="K10" i="19"/>
  <c r="Q40" i="19"/>
  <c r="K30" i="19"/>
  <c r="AI50" i="19"/>
  <c r="AI20" i="19"/>
  <c r="K50" i="19"/>
  <c r="AI40" i="19"/>
  <c r="W40" i="19"/>
  <c r="K20" i="19"/>
  <c r="AC10" i="19"/>
  <c r="AI10" i="19"/>
  <c r="AC20" i="19"/>
  <c r="AI30" i="19"/>
  <c r="AC30" i="19"/>
  <c r="W30" i="19"/>
  <c r="Q20" i="19"/>
  <c r="AE8"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D22" i="1"/>
  <c r="AC21" i="1"/>
  <c r="AC57" i="1"/>
  <c r="AD58" i="1"/>
  <c r="K39" i="19"/>
  <c r="AC39" i="19"/>
  <c r="W29" i="19"/>
  <c r="AI49" i="19"/>
  <c r="W9" i="19"/>
  <c r="AC19" i="19"/>
  <c r="Q49" i="19"/>
  <c r="W49" i="19"/>
  <c r="AC9" i="19"/>
  <c r="AI9" i="19"/>
  <c r="Q29" i="19"/>
  <c r="W39" i="19"/>
  <c r="Q39" i="19"/>
  <c r="AE26"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E50" i="1"/>
  <c r="Q33" i="19"/>
  <c r="AI23" i="19"/>
  <c r="K53" i="19"/>
  <c r="AC23" i="19"/>
  <c r="AC13" i="19"/>
  <c r="W23" i="19"/>
  <c r="W33" i="19"/>
  <c r="Q13" i="19"/>
  <c r="W13" i="19"/>
  <c r="AI13" i="19"/>
  <c r="Q43" i="19"/>
  <c r="Q23" i="19"/>
  <c r="W53" i="19"/>
  <c r="M12" i="19"/>
  <c r="AK42" i="19"/>
  <c r="AE32" i="19"/>
  <c r="AE46" i="1"/>
  <c r="M52" i="19"/>
  <c r="S12" i="19"/>
  <c r="M32" i="19"/>
  <c r="S52" i="19"/>
  <c r="Y52" i="19"/>
  <c r="Y42" i="19"/>
  <c r="AK12" i="19"/>
  <c r="S22" i="19"/>
  <c r="AE12" i="19"/>
  <c r="Y22" i="19"/>
  <c r="S32" i="19"/>
  <c r="AK52" i="19"/>
  <c r="M22" i="19"/>
  <c r="AK32" i="19"/>
  <c r="AE22" i="19"/>
  <c r="AE42" i="19"/>
  <c r="Y32" i="19"/>
  <c r="M42" i="19"/>
  <c r="Y12" i="19"/>
  <c r="AE52" i="19"/>
  <c r="AK22" i="19"/>
  <c r="S42" i="19"/>
  <c r="AC40" i="1"/>
  <c r="AD42" i="1"/>
  <c r="AC42" i="1"/>
  <c r="AD41" i="1"/>
  <c r="AC41" i="1"/>
  <c r="AC33" i="1"/>
  <c r="AD34" i="1"/>
  <c r="AD10" i="1"/>
  <c r="AC10" i="1"/>
  <c r="AC9" i="1"/>
  <c r="AD11"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E20" i="1"/>
  <c r="AC11" i="1"/>
  <c r="AD12" i="1"/>
  <c r="AC12" i="1"/>
  <c r="R40" i="19"/>
  <c r="AD10" i="19"/>
  <c r="X40" i="19"/>
  <c r="AJ10" i="19"/>
  <c r="R50" i="19"/>
  <c r="X10" i="19"/>
  <c r="R30" i="19"/>
  <c r="AE33" i="1"/>
  <c r="L10" i="19"/>
  <c r="L50" i="19"/>
  <c r="AJ20" i="19"/>
  <c r="AJ40" i="19"/>
  <c r="AD30" i="19"/>
  <c r="R20" i="19"/>
  <c r="AD50" i="19"/>
  <c r="AJ30" i="19"/>
  <c r="AJ50" i="19"/>
  <c r="X30" i="19"/>
  <c r="AD20" i="19"/>
  <c r="L40" i="19"/>
  <c r="X50" i="19"/>
  <c r="X20" i="19"/>
  <c r="AD40" i="19"/>
  <c r="R10" i="19"/>
  <c r="L30" i="19"/>
  <c r="L20" i="19"/>
  <c r="AC52" i="1"/>
  <c r="AD53" i="1"/>
  <c r="AC65" i="1"/>
  <c r="AD66" i="1"/>
  <c r="AC66" i="1"/>
  <c r="AD47" i="19"/>
  <c r="AJ27" i="19"/>
  <c r="AD27" i="19"/>
  <c r="AJ7" i="19"/>
  <c r="AJ37" i="19"/>
  <c r="L27" i="19"/>
  <c r="AD17" i="19"/>
  <c r="L37" i="19"/>
  <c r="R17" i="19"/>
  <c r="AJ17" i="19"/>
  <c r="X7" i="19"/>
  <c r="X47" i="19"/>
  <c r="L7" i="19"/>
  <c r="L17" i="19"/>
  <c r="R27" i="19"/>
  <c r="X27" i="19"/>
  <c r="R7" i="19"/>
  <c r="X17" i="19"/>
  <c r="AJ47" i="19"/>
  <c r="L47" i="19"/>
  <c r="R37" i="19"/>
  <c r="AD7" i="19"/>
  <c r="X37" i="19"/>
  <c r="AE15" i="1"/>
  <c r="R47" i="19"/>
  <c r="AD37" i="19"/>
  <c r="AD23" i="1"/>
  <c r="AC23" i="1"/>
  <c r="AC22" i="1"/>
  <c r="AD24" i="1"/>
  <c r="AC24" i="1"/>
  <c r="AJ43" i="19"/>
  <c r="AD33" i="19"/>
  <c r="X33" i="19"/>
  <c r="X13" i="19"/>
  <c r="AD43" i="19"/>
  <c r="L43" i="19"/>
  <c r="AE51" i="1"/>
  <c r="X23" i="19"/>
  <c r="R33" i="19"/>
  <c r="R43" i="19"/>
  <c r="AD53" i="19"/>
  <c r="AJ13" i="19"/>
  <c r="R23" i="19"/>
  <c r="R13" i="19"/>
  <c r="AJ53" i="19"/>
  <c r="L33" i="19"/>
  <c r="L23" i="19"/>
  <c r="X43" i="19"/>
  <c r="X53" i="19"/>
  <c r="AD13" i="19"/>
  <c r="L53" i="19"/>
  <c r="L13" i="19"/>
  <c r="AD23" i="19"/>
  <c r="AJ33" i="19"/>
  <c r="AJ23" i="19"/>
  <c r="R53" i="19"/>
  <c r="AC16" i="1"/>
  <c r="AD17" i="1"/>
  <c r="M55" i="19"/>
  <c r="AK15" i="19"/>
  <c r="AE25" i="19"/>
  <c r="AE64"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E21"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E41"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E10" i="1"/>
  <c r="O11" i="19"/>
  <c r="O21" i="19"/>
  <c r="O51" i="19"/>
  <c r="AA31" i="19"/>
  <c r="AM31" i="19"/>
  <c r="AG51" i="19"/>
  <c r="AA41" i="19"/>
  <c r="AM11" i="19"/>
  <c r="U21" i="19"/>
  <c r="AG41" i="19"/>
  <c r="AM21" i="19"/>
  <c r="AM51" i="19"/>
  <c r="O41" i="19"/>
  <c r="U11" i="19"/>
  <c r="AG31" i="19"/>
  <c r="U41" i="19"/>
  <c r="AE42" i="1"/>
  <c r="AG11" i="19"/>
  <c r="AM41" i="19"/>
  <c r="AA21" i="19"/>
  <c r="AA51" i="19"/>
  <c r="U51" i="19"/>
  <c r="U31" i="19"/>
  <c r="AA11" i="19"/>
  <c r="AG21" i="19"/>
  <c r="O31" i="19"/>
  <c r="AC58" i="1"/>
  <c r="AD59" i="1"/>
  <c r="AC28" i="1"/>
  <c r="AD29" i="1"/>
  <c r="AC29" i="1"/>
  <c r="AD30" i="1"/>
  <c r="AC30" i="1"/>
  <c r="AJ46" i="19"/>
  <c r="AD46" i="19"/>
  <c r="L36" i="19"/>
  <c r="X16" i="19"/>
  <c r="AJ26" i="19"/>
  <c r="L46" i="19"/>
  <c r="X6" i="19"/>
  <c r="R36" i="19"/>
  <c r="X36" i="19"/>
  <c r="R6" i="19"/>
  <c r="AJ6" i="19"/>
  <c r="AD36" i="19"/>
  <c r="R46" i="19"/>
  <c r="AD26" i="19"/>
  <c r="L16" i="19"/>
  <c r="AD16" i="19"/>
  <c r="AE9" i="1"/>
  <c r="X46" i="19"/>
  <c r="X26" i="19"/>
  <c r="AJ36" i="19"/>
  <c r="R26" i="19"/>
  <c r="AD6" i="19"/>
  <c r="L6" i="19"/>
  <c r="L26" i="19"/>
  <c r="R16" i="19"/>
  <c r="AJ16" i="19"/>
  <c r="AC34" i="1"/>
  <c r="AD35" i="1"/>
  <c r="AE11" i="19"/>
  <c r="Y41" i="19"/>
  <c r="M41" i="19"/>
  <c r="Y21" i="19"/>
  <c r="AK41" i="19"/>
  <c r="S31" i="19"/>
  <c r="M31" i="19"/>
  <c r="M51" i="19"/>
  <c r="Y51" i="19"/>
  <c r="AK21" i="19"/>
  <c r="AK31" i="19"/>
  <c r="Y11" i="19"/>
  <c r="AE41" i="19"/>
  <c r="AE21" i="19"/>
  <c r="S51" i="19"/>
  <c r="AE51" i="19"/>
  <c r="AK51" i="19"/>
  <c r="M21" i="19"/>
  <c r="AE31" i="19"/>
  <c r="AE40" i="1"/>
  <c r="S41" i="19"/>
  <c r="AK11" i="19"/>
  <c r="S11" i="19"/>
  <c r="Y31" i="19"/>
  <c r="S21" i="19"/>
  <c r="M11" i="19"/>
  <c r="L54" i="19"/>
  <c r="AJ14" i="19"/>
  <c r="AD44" i="19"/>
  <c r="X54" i="19"/>
  <c r="R14" i="19"/>
  <c r="AD24" i="19"/>
  <c r="AD34" i="19"/>
  <c r="R54" i="19"/>
  <c r="L34" i="19"/>
  <c r="AJ34" i="19"/>
  <c r="X24" i="19"/>
  <c r="AJ24" i="19"/>
  <c r="X44" i="19"/>
  <c r="R24" i="19"/>
  <c r="AE57" i="1"/>
  <c r="X34" i="19"/>
  <c r="L14" i="19"/>
  <c r="AD14" i="19"/>
  <c r="L44" i="19"/>
  <c r="R44" i="19"/>
  <c r="AD54" i="19"/>
  <c r="X14" i="19"/>
  <c r="AJ44" i="19"/>
  <c r="R34" i="19"/>
  <c r="AJ54" i="19"/>
  <c r="L24" i="19"/>
  <c r="AD29" i="19"/>
  <c r="AD19" i="19"/>
  <c r="R39" i="19"/>
  <c r="R9" i="19"/>
  <c r="X49" i="19"/>
  <c r="X9" i="19"/>
  <c r="AD39" i="19"/>
  <c r="R29" i="19"/>
  <c r="L49" i="19"/>
  <c r="X19" i="19"/>
  <c r="X29" i="19"/>
  <c r="X39" i="19"/>
  <c r="L9" i="19"/>
  <c r="AE27" i="1"/>
  <c r="AD9" i="19"/>
  <c r="AJ49" i="19"/>
  <c r="L39" i="19"/>
  <c r="R19" i="19"/>
  <c r="AJ39" i="19"/>
  <c r="AJ29" i="19"/>
  <c r="AJ19" i="19"/>
  <c r="AJ9" i="19"/>
  <c r="AD49" i="19"/>
  <c r="L19" i="19"/>
  <c r="L29" i="19"/>
  <c r="R49" i="19"/>
  <c r="AC35" i="1"/>
  <c r="AD36" i="1"/>
  <c r="AC36" i="1"/>
  <c r="AG39" i="19"/>
  <c r="AG29" i="19"/>
  <c r="AM19" i="19"/>
  <c r="O39" i="19"/>
  <c r="AE30"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58" i="1"/>
  <c r="AE24" i="19"/>
  <c r="S14" i="19"/>
  <c r="AK17" i="19"/>
  <c r="S27" i="19"/>
  <c r="S37" i="19"/>
  <c r="AE27" i="19"/>
  <c r="Y47" i="19"/>
  <c r="S7" i="19"/>
  <c r="M17" i="19"/>
  <c r="AE17" i="19"/>
  <c r="AK27" i="19"/>
  <c r="Y7" i="19"/>
  <c r="Y37" i="19"/>
  <c r="AE37" i="19"/>
  <c r="Y27" i="19"/>
  <c r="M47" i="19"/>
  <c r="AE16"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2" i="1"/>
  <c r="AE28" i="19"/>
  <c r="AA55" i="19"/>
  <c r="O45" i="19"/>
  <c r="AA15" i="19"/>
  <c r="AM55" i="19"/>
  <c r="O55" i="19"/>
  <c r="AG35" i="19"/>
  <c r="AM25" i="19"/>
  <c r="AM35" i="19"/>
  <c r="AA25" i="19"/>
  <c r="AM45" i="19"/>
  <c r="AG25" i="19"/>
  <c r="AA35" i="19"/>
  <c r="O25" i="19"/>
  <c r="U25" i="19"/>
  <c r="AG45" i="19"/>
  <c r="U35" i="19"/>
  <c r="AA45" i="19"/>
  <c r="AM15" i="19"/>
  <c r="U45" i="19"/>
  <c r="O35" i="19"/>
  <c r="O15" i="19"/>
  <c r="AE66" i="1"/>
  <c r="AG15" i="19"/>
  <c r="U15" i="19"/>
  <c r="AG55" i="19"/>
  <c r="U55" i="19"/>
  <c r="AE40" i="19"/>
  <c r="Y30" i="19"/>
  <c r="M20" i="19"/>
  <c r="AE34"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E29" i="1"/>
  <c r="T19" i="19"/>
  <c r="AL49" i="19"/>
  <c r="T29" i="19"/>
  <c r="AF29" i="19"/>
  <c r="T18" i="19"/>
  <c r="N48" i="19"/>
  <c r="N8" i="19"/>
  <c r="T28" i="19"/>
  <c r="AF38" i="19"/>
  <c r="Z28" i="19"/>
  <c r="Z18" i="19"/>
  <c r="AF8" i="19"/>
  <c r="AE23"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E65"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E28" i="1"/>
  <c r="M9" i="19"/>
  <c r="Y29" i="19"/>
  <c r="AC53" i="1"/>
  <c r="AD54" i="1"/>
  <c r="AC54" i="1"/>
  <c r="AM46" i="19"/>
  <c r="U36" i="19"/>
  <c r="AG16" i="19"/>
  <c r="O6" i="19"/>
  <c r="AA36" i="19"/>
  <c r="AM16" i="19"/>
  <c r="U6" i="19"/>
  <c r="AG46" i="19"/>
  <c r="AA16" i="19"/>
  <c r="AE12" i="1"/>
  <c r="AA6" i="19"/>
  <c r="AG6" i="19"/>
  <c r="AA46" i="19"/>
  <c r="AM26" i="19"/>
  <c r="U16" i="19"/>
  <c r="O36" i="19"/>
  <c r="U26" i="19"/>
  <c r="O46" i="19"/>
  <c r="AA26" i="19"/>
  <c r="AM6" i="19"/>
  <c r="U46" i="19"/>
  <c r="AG26" i="19"/>
  <c r="O16" i="19"/>
  <c r="AG36" i="19"/>
  <c r="O26" i="19"/>
  <c r="AM36" i="19"/>
  <c r="AC59" i="1"/>
  <c r="AD60" i="1"/>
  <c r="AC60" i="1"/>
  <c r="AD18" i="1"/>
  <c r="AC18" i="1"/>
  <c r="AC17" i="1"/>
  <c r="O8" i="19"/>
  <c r="AA48" i="19"/>
  <c r="AM38" i="19"/>
  <c r="U48" i="19"/>
  <c r="AA18" i="19"/>
  <c r="AG18" i="19"/>
  <c r="AG48" i="19"/>
  <c r="AM18" i="19"/>
  <c r="AA28" i="19"/>
  <c r="AG28" i="19"/>
  <c r="AA8" i="19"/>
  <c r="U18" i="19"/>
  <c r="AG38" i="19"/>
  <c r="U38" i="19"/>
  <c r="AM8" i="19"/>
  <c r="AA38" i="19"/>
  <c r="AM48" i="19"/>
  <c r="U28" i="19"/>
  <c r="O38" i="19"/>
  <c r="U8" i="19"/>
  <c r="AG8" i="19"/>
  <c r="AE24"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E52" i="1"/>
  <c r="M33" i="19"/>
  <c r="AF6" i="19"/>
  <c r="N46" i="19"/>
  <c r="Z26" i="19"/>
  <c r="AL6" i="19"/>
  <c r="AL36" i="19"/>
  <c r="AF26" i="19"/>
  <c r="Z6" i="19"/>
  <c r="T26" i="19"/>
  <c r="Z46" i="19"/>
  <c r="AF46" i="19"/>
  <c r="T46" i="19"/>
  <c r="T6" i="19"/>
  <c r="AF36" i="19"/>
  <c r="N26" i="19"/>
  <c r="Z16" i="19"/>
  <c r="AL26" i="19"/>
  <c r="Z36" i="19"/>
  <c r="N36" i="19"/>
  <c r="AL46" i="19"/>
  <c r="T36" i="19"/>
  <c r="AF16" i="19"/>
  <c r="N6" i="19"/>
  <c r="N16" i="19"/>
  <c r="AE11" i="1"/>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E60" i="1"/>
  <c r="AA14" i="19"/>
  <c r="O54" i="19"/>
  <c r="U44" i="19"/>
  <c r="U43" i="19"/>
  <c r="U13" i="19"/>
  <c r="AM53" i="19"/>
  <c r="AA53" i="19"/>
  <c r="AA43" i="19"/>
  <c r="O53" i="19"/>
  <c r="O23" i="19"/>
  <c r="O13" i="19"/>
  <c r="AG43" i="19"/>
  <c r="U33" i="19"/>
  <c r="U23" i="19"/>
  <c r="AM13" i="19"/>
  <c r="AM23" i="19"/>
  <c r="AG13" i="19"/>
  <c r="AA23" i="19"/>
  <c r="AG33" i="19"/>
  <c r="AA33" i="19"/>
  <c r="AM33" i="19"/>
  <c r="AA13" i="19"/>
  <c r="AE54"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E59" i="1"/>
  <c r="AF53" i="19"/>
  <c r="T43" i="19"/>
  <c r="Z53" i="19"/>
  <c r="N43" i="19"/>
  <c r="T23" i="19"/>
  <c r="AF43" i="19"/>
  <c r="Z13" i="19"/>
  <c r="Z43" i="19"/>
  <c r="AF23" i="19"/>
  <c r="AL13" i="19"/>
  <c r="Z23" i="19"/>
  <c r="AL43" i="19"/>
  <c r="AF13" i="19"/>
  <c r="AL23" i="19"/>
  <c r="N13" i="19"/>
  <c r="T33" i="19"/>
  <c r="AL53" i="19"/>
  <c r="N23" i="19"/>
  <c r="N53" i="19"/>
  <c r="AF33" i="19"/>
  <c r="N33" i="19"/>
  <c r="AE53" i="1"/>
  <c r="T53" i="19"/>
  <c r="AL33" i="19"/>
  <c r="T13" i="19"/>
  <c r="Z33" i="19"/>
  <c r="Z47" i="19"/>
  <c r="T7" i="19"/>
  <c r="AL37" i="19"/>
  <c r="T17" i="19"/>
  <c r="Z17" i="19"/>
  <c r="AF7" i="19"/>
  <c r="AF37" i="19"/>
  <c r="N17" i="19"/>
  <c r="AF27" i="19"/>
  <c r="AE17"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E36"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E18" i="1"/>
  <c r="AA17" i="19"/>
  <c r="O7" i="19"/>
  <c r="AA37" i="19"/>
  <c r="AA27" i="19"/>
  <c r="AM27" i="19"/>
  <c r="U17" i="19"/>
  <c r="U47" i="19"/>
  <c r="AG17" i="19"/>
  <c r="O47" i="19"/>
  <c r="Z40" i="19"/>
  <c r="AE35"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<sst xmlns="http://schemas.openxmlformats.org/spreadsheetml/2006/main" count="375" uniqueCount="243">
  <si>
    <t xml:space="preserve">Referencia </t>
  </si>
  <si>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</si>
  <si>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</si>
  <si>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</si>
  <si>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</si>
  <si>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</si>
  <si>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</si>
  <si>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</si>
  <si>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</si>
  <si>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</si>
  <si>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</si>
  <si>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</si>
  <si>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</si>
  <si>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</si>
  <si>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</si>
  <si>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</si>
  <si>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</si>
  <si>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</si>
  <si>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</si>
  <si>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</si>
  <si>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</si>
  <si>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</si>
  <si>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</si>
  <si>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</si>
  <si>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</si>
  <si>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</si>
  <si>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</si>
  <si>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</si>
  <si>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</si>
  <si>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</si>
  <si>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</si>
  <si>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</si>
  <si>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</si>
  <si>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</si>
  <si>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</si>
  <si>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</si>
  <si>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</si>
  <si>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</si>
  <si>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</si>
  <si>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</si>
  <si>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</si>
  <si>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</si>
  <si>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</si>
  <si>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</si>
  <si>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</si>
  <si>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</si>
  <si>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</si>
  <si>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</si>
  <si>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</si>
  <si>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</si>
  <si>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</si>
  <si>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</si>
  <si>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</si>
  <si>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</si>
  <si>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</si>
  <si>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</si>
  <si>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</si>
  <si>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</si>
  <si>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</si>
  <si>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</si>
  <si>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</si>
  <si>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</si>
  <si>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</si>
  <si>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</si>
  <si>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</si>
  <si>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</si>
  <si>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</si>
  <si>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</si>
  <si>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</si>
  <si>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</si>
  <si>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</si>
  <si>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</si>
  <si>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</si>
  <si>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</si>
  <si>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</si>
  <si>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</si>
  <si>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</si>
  <si>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</si>
  <si>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</si>
  <si>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</si>
  <si>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</si>
  <si>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</si>
  <si>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</si>
  <si>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</si>
  <si>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</si>
  <si>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</si>
  <si>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</si>
  <si>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</si>
  <si>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</si>
  <si>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</si>
  <si>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</si>
  <si>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</si>
  <si>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</si>
  <si>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</si>
  <si>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</si>
  <si>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</si>
  <si>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</si>
  <si>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</si>
  <si>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</si>
  <si>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</si>
  <si>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</si>
  <si>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</si>
  <si>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</si>
  <si>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</si>
  <si>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</si>
  <si>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</si>
  <si>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</si>
  <si>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</si>
  <si>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</si>
  <si>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</si>
  <si>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</si>
  <si>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</si>
  <si>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</si>
  <si>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</si>
  <si>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</si>
  <si>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</si>
  <si>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</si>
  <si>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</si>
  <si>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</si>
  <si>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</si>
  <si>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</si>
  <si>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</si>
  <si>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</si>
  <si>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</si>
  <si>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</si>
  <si>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</si>
  <si>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</si>
  <si>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</si>
  <si>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</si>
  <si>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</si>
  <si>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</si>
  <si>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</si>
  <si>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</si>
  <si>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</si>
  <si>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</si>
  <si>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</si>
  <si>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</si>
  <si>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</si>
  <si>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</si>
  <si>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</si>
  <si>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</si>
  <si>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</si>
  <si>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</si>
  <si>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</si>
  <si>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</si>
  <si>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</si>
  <si>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</si>
  <si>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</si>
  <si>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</si>
  <si>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</si>
  <si>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</si>
  <si>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</si>
  <si>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</si>
  <si>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</si>
  <si>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</si>
  <si>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</si>
  <si>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</si>
  <si>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</si>
  <si>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</si>
  <si>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</si>
  <si>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</si>
  <si>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Frecuencia con la cual se lleva a cabo la actividad</t>
  </si>
  <si>
    <t>Criterios de Impacto</t>
  </si>
  <si>
    <t>Utilice la lista de despligue que se encuentra parametrizada, le aparecerán las opciones: i)Preventivo, ii)Detectivo, iii)Correctivo.</t>
  </si>
  <si>
    <t>Utilice la lista de despligue que se encuentra parametrizada, le aparecerán las opciones: i)Automático, ii)Manual.</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</si>
  <si>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</si>
  <si>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</si>
  <si>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</si>
  <si>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</si>
  <si>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</si>
  <si>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</si>
  <si>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</si>
  <si>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</si>
  <si>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</si>
  <si>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</si>
  <si>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</si>
  <si>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</si>
  <si>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</si>
  <si>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</si>
  <si>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</si>
  <si>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</si>
  <si>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</si>
  <si>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</si>
  <si>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</si>
  <si>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</si>
  <si>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</si>
  <si>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Una matriz de riesgos, es una herramienta, útil, que permite identificar los riesgos a los que se está expuesto. De esta manera, se pueden determinar los niveles aceptables de exposición a aquellos, así como establecer el control apropiado frente a los mismos y monitorear la efectividad del método de control elegido. Físicamente, es una guía visual que permite, mediante su diseño, una rápida identificación de las prioridades que deben ser atendidas para así acelerar la toma de decisiones.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t>
    </r>
    <r>
      <rPr>
        <sz val="10"/>
        <rFont val="Arial Narrow"/>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</si>
  <si>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6" tint="-0.249977111117893"/>
        <rFont val="Arial Narrow"/>
        <family val="2"/>
      </rPr>
      <t>Paso 2: identificación del riesgo</t>
    </r>
    <r>
      <rPr>
        <sz val="11"/>
        <color theme="6" tint="-0.249977111117893"/>
        <rFont val="Arial Narrow"/>
        <family val="2"/>
      </rPr>
      <t>,</t>
    </r>
    <r>
      <rPr>
        <sz val="11"/>
        <rFont val="Arial Narrow"/>
        <family val="2"/>
      </rPr>
      <t xml:space="preserve"> donde se explica ampliamente las bases para adelanter este análisis.
Así mismo, considere en el </t>
    </r>
    <r>
      <rPr>
        <b/>
        <sz val="11"/>
        <color theme="6"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6"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</si>
  <si>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rFont val="Arial Narrow"/>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</si>
  <si>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9"/>
        <rFont val="Arial Narrow"/>
        <family val="2"/>
      </rPr>
      <t>Responsable de ejecutar el control + Acción + Complemento</t>
    </r>
  </si>
  <si>
    <t>Objetivo Estratégico</t>
  </si>
  <si>
    <t>Contexto Estrategico Interno - Enterno - Proceso</t>
  </si>
  <si>
    <r>
      <t>Utilice la lista de despligue que se encuentra parametrizada, le aparecerán las opciones:</t>
    </r>
    <r>
      <rPr>
        <b/>
        <sz val="9"/>
        <rFont val="Arial Narrow"/>
        <family val="2"/>
      </rPr>
      <t xml:space="preserve"> i)Estratégicos ii) Imagen iii) Operativos iv)Financieros v)Legal o de Cumplimiento vi) Tecnológicos vii) Fraude viii) Corrupción ix) Imparcialidad x) Confidencialidad xi) Seguridad de la información </t>
    </r>
  </si>
  <si>
    <t xml:space="preserve">Causa </t>
  </si>
  <si>
    <t>Corresponde a las razones por la cuales se puede presentar  el riesgo, redacte de la forma más concreta posible.</t>
  </si>
  <si>
    <r>
      <t xml:space="preserve">Analice las consecuencias que puede ocasionar a la organización la materialización del riesgo. El riesgo se puede clasificar en: Un </t>
    </r>
    <r>
      <rPr>
        <b/>
        <sz val="9"/>
        <rFont val="Arial Narrow"/>
        <family val="2"/>
      </rPr>
      <t>riesgo negativo</t>
    </r>
    <r>
      <rPr>
        <sz val="9"/>
        <rFont val="Arial Narrow"/>
        <family val="2"/>
      </rPr>
      <t xml:space="preserve"> es una amenaza, y cuando ocurre, se transforma en un problema. No obstante, un</t>
    </r>
    <r>
      <rPr>
        <b/>
        <sz val="9"/>
        <rFont val="Arial Narrow"/>
        <family val="2"/>
      </rPr>
      <t xml:space="preserve"> riesgo puede ser positivo</t>
    </r>
    <r>
      <rPr>
        <sz val="9"/>
        <rFont val="Arial Narrow"/>
        <family val="2"/>
      </rPr>
      <t xml:space="preserve"> al proporcionar una solución.</t>
    </r>
    <r>
      <rPr>
        <b/>
        <sz val="9"/>
        <rFont val="Arial Narrow"/>
        <family val="2"/>
      </rPr>
      <t xml:space="preserve"> </t>
    </r>
  </si>
  <si>
    <t xml:space="preserve">Permite definir unl consecutivo de riesgos.
Una entidad puede ir en el riesgo 150, pero tener 70 riesgos, lo que permite llevar una traza de los riesgos. Esta información la debe administrar la oficina  Subdireción de planeación o calidad .  Cuando un  riesgo salga del mapa no existirá otro riesgo con el mismo número. </t>
  </si>
  <si>
    <t>Identificar los Objetivo estrategico a cual afecta directamente el Riesgo</t>
  </si>
  <si>
    <t xml:space="preserve"> Descripción del Riesgo</t>
  </si>
  <si>
    <t>Riesgo</t>
  </si>
  <si>
    <t xml:space="preserve">Describir la amenaza que pueda materializarce  y afectar de manera Negativa o Positivamente su proceso </t>
  </si>
  <si>
    <t>Impacto o Consecuencia</t>
  </si>
  <si>
    <t>Contexto Estrategico Interno - Externo - Proceso</t>
  </si>
  <si>
    <r>
      <t xml:space="preserve">Identificar el contexto estrategico con el cual se relaciona directamente el riesgo. </t>
    </r>
    <r>
      <rPr>
        <b/>
        <sz val="9"/>
        <rFont val="Arial Narrow"/>
        <family val="2"/>
      </rPr>
      <t xml:space="preserve">Interno;  Externo; Proceso </t>
    </r>
    <r>
      <rPr>
        <sz val="9"/>
        <rFont val="Arial Narrow"/>
        <family val="2"/>
      </rPr>
      <t xml:space="preserve"> </t>
    </r>
  </si>
  <si>
    <r>
      <t>Defina el # de veces que se puede materializar el riesgo durante el año, (Recuerde la probabilidad u ocurrencia del riesgo se defien como el No. de veces que se pasa por el punto de riesgo en el periodo de 1 año). La matriz automáticamente hará el cálculo para el nivel de probabilidad inherente</t>
    </r>
    <r>
      <rPr>
        <sz val="9"/>
        <color theme="1"/>
        <rFont val="Arial Narrow"/>
        <family val="2"/>
      </rPr>
      <t xml:space="preserve"> (Columnas J-K)</t>
    </r>
  </si>
  <si>
    <r>
      <t>Utilice la lista de despligue que se encuentra parametrizada, le aparecerán las opciones de la tabla de Impacto en la Hoja 6 del presente documento. La matriz automáticamente hará el cálculo para el nivel de impacto inherente</t>
    </r>
    <r>
      <rPr>
        <sz val="9"/>
        <color theme="1"/>
        <rFont val="Arial Narrow"/>
        <family val="2"/>
      </rPr>
      <t xml:space="preserve"> (Columnas N-O)</t>
    </r>
  </si>
  <si>
    <r>
      <t xml:space="preserve">Teniendo en cuenta que ingresó la información de PROBABILIDAD e IMPACTO, la matriz automáticamente hará el cálculo para la zona de riesgo inherente </t>
    </r>
    <r>
      <rPr>
        <sz val="9"/>
        <color theme="1"/>
        <rFont val="Arial Narrow"/>
        <family val="2"/>
      </rPr>
      <t>(Columna P)</t>
    </r>
  </si>
  <si>
    <r>
      <t xml:space="preserve">Esta casilla no se diligencia, depende de la selección en la </t>
    </r>
    <r>
      <rPr>
        <sz val="9"/>
        <color theme="1"/>
        <rFont val="Arial Narrow"/>
        <family val="2"/>
      </rPr>
      <t>columna S.</t>
    </r>
  </si>
  <si>
    <r>
      <t>La matriz automáticamente hará el cálculo para el control analizado</t>
    </r>
    <r>
      <rPr>
        <sz val="9"/>
        <color rgb="FFFF0000"/>
        <rFont val="Arial Narrow"/>
        <family val="2"/>
      </rPr>
      <t xml:space="preserve"> </t>
    </r>
    <r>
      <rPr>
        <sz val="9"/>
        <color theme="1"/>
        <rFont val="Arial Narrow"/>
        <family val="2"/>
      </rPr>
      <t xml:space="preserve">(Columna V) </t>
    </r>
  </si>
  <si>
    <r>
      <t>La matriz automáticamente hará el cálculo, acorde con el control o controles definidos con sus atributos analizados, lo que permitirá establecer el</t>
    </r>
    <r>
      <rPr>
        <b/>
        <sz val="9"/>
        <rFont val="Arial Narrow"/>
        <family val="2"/>
      </rPr>
      <t xml:space="preserve"> nivel de riesgo inherente</t>
    </r>
    <r>
      <rPr>
        <sz val="9"/>
        <color theme="1"/>
        <rFont val="Arial Narrow"/>
        <family val="2"/>
      </rPr>
      <t xml:space="preserve"> (Columnas AA -AB- AC-AD-AE).</t>
    </r>
  </si>
  <si>
    <t>Negativo (Amenaza)</t>
  </si>
  <si>
    <t>Corrupción</t>
  </si>
  <si>
    <t xml:space="preserve">Positivo (Oportunidad) </t>
  </si>
  <si>
    <t>Fortalecimiento del Sistema Integrado de Gestión de la Calidad y el Modelo Integrado de Planeación y Gestión.</t>
  </si>
  <si>
    <t>Estratégicos</t>
  </si>
  <si>
    <t>Posibilidad de incumplimiento a la realización  de los informes de seguimiento y/o monitoreo de de planes programas y proyectos  por demoras de los responsables de proceso para el reporte y seguimiento de los mismos</t>
  </si>
  <si>
    <t>Incumplimiento e inoportunidad  en la realizacion del  informes de seguimiento y/o monitoreo de de planes programas y proyectos del Instituto</t>
  </si>
  <si>
    <t>Financieros
Políticos: Cambio de gobierno con nuevos planes y proyectos de Desarrollo, Falta de continuidad en los programas establecido
Legal: Cambios legales y normativos aplicables a la Entidad y a los procesos.
-	Comunicación entre los procesos: Efectividad en los flujos de información determinados en la interacción de los procesos.</t>
  </si>
  <si>
    <t xml:space="preserve">Demoras en apropiación y ejecución de recursos
Dificultades para la definición de proyectos acorde con el Plan de acción
Demora en los reportes sobre la  ejecución de los  planes, programas y proyectos por parte de los lideres procesos de la entidad.
deficiencia en la comunicacion de los procesos </t>
  </si>
  <si>
    <t xml:space="preserve">Baja por se ejecutan las acciones </t>
  </si>
  <si>
    <t>Inferior por q no hay perdidas economicas</t>
  </si>
  <si>
    <t>Plan de acción</t>
  </si>
  <si>
    <t>Reporte trimestral SAGEP</t>
  </si>
  <si>
    <t>Informe de avance de metas plan de acción</t>
  </si>
  <si>
    <t>Presentacion al Comité de Gestión y desempeño</t>
  </si>
  <si>
    <t>Realizar ajustes al proyecto de presupuesto de la vigencia posterior en cuanto a los rubros, fuentes, proyectos a ejecutar y necesidades de la entidad</t>
  </si>
  <si>
    <t>Jefe de Oficina de planeacion</t>
  </si>
  <si>
    <t>30/1272021</t>
  </si>
  <si>
    <t>Delegación de supervisión y seguimientos de los proyectos y programas para el apoyo a Jefe de deportes</t>
  </si>
  <si>
    <t>Jefe de oficina de deportes</t>
  </si>
  <si>
    <t>Jefe de Oficina de planeacion
jefe de oficina Administrativa y financiera</t>
  </si>
  <si>
    <t xml:space="preserve">Realizar reuniones de seguimiento semanal al cumplimiento de las metas y compromisos </t>
  </si>
  <si>
    <t>Posibilidad del uso, pérdida o apropiación indebida de información</t>
  </si>
  <si>
    <t>Posibilidad del uso, pérdida o apropiación indebida de información  de Planeación por falta de control en el acceso a la información y dolo intencionado por parte del funcionario y/o contratista quemaneja la base de datos</t>
  </si>
  <si>
    <t>Tecnología: s</t>
  </si>
  <si>
    <t>Sistemas de gestión ineficientes, falta de optimización de sistemas de gestión, falta de coordinación de necesidades de tecnología.</t>
  </si>
  <si>
    <t>Asignación de claves de seguridad</t>
  </si>
  <si>
    <t>Documentar y aprobar la politica de seguridad de la información</t>
  </si>
  <si>
    <t>jefe de oficina  de planeacion</t>
  </si>
  <si>
    <t>mediante acta de reunión del comité de gestion y desempeño de fecha 31 de agosto de 2021 tema revisión de temas de presupuesto contratación socialización de planes  de TICS  manual de politica y procedimiento para la protección de datos personales, modelo de seguridad y privacidad de la informacióin, plan de implementación de IPV6 PETI, manual de datos abiertos</t>
  </si>
  <si>
    <t>En reunion de comité de Gestion y desempeño del 31 de agosto de 2021 cuyo objetivo fue la Revision del Presupuesto, contratacion de  la oficina administrativa y financiera hace referencia al recaudo por aprovechamiento economicos, y la tasa deportiva.
se ha recaudado a la fecha $43.940.000  de 100.000.000 por concepto de aprovechamiento de escenarios deportivos, para un porcentaje del 44%.</t>
  </si>
  <si>
    <t>Se realizo reunion con el equipo de trabajo y promotores de deportes donde se realizo asignación de supervisiones (gestors de parques, apoyo a la gestion, personal de escuelas) y coordinacion de eventos deportivos y recreativos a los promotores (cumpleaños de Valledupar) y la obligatoriedad de la entrega de informes de actividades deportivas y recreativas</t>
  </si>
  <si>
    <t xml:space="preserve">Se realizaron las reuniones con los equipos de trabajo de promotores y diferemtes coordinadores de programas, donde se planificaban y evaluan las actividades deportivas y recreativas reuniones semanales viernes y lunes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</si>
</sst>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11"/>
      <color theme="6" tint="-0.249977111117893"/>
      <name val="Arial Narrow"/>
      <family val="2"/>
    </font>
    <font>
      <sz val="11"/>
      <color theme="6" tint="-0.249977111117893"/>
      <name val="Arial Narrow"/>
      <family val="2"/>
    </font>
    <font>
      <b/>
      <sz val="10"/>
      <color theme="6" tint="-0.249977111117893"/>
      <name val="Arial Narrow"/>
      <family val="2"/>
    </font>
    <font>
      <b/>
      <sz val="22"/>
      <name val="Arial Narrow"/>
      <family val="2"/>
    </font>
    <font>
      <sz val="9"/>
      <color rgb="FFFF0000"/>
      <name val="Arial Narrow"/>
      <family val="2"/>
    </font>
    <font>
      <sz val="10"/>
      <color rgb="FFFF0000"/>
      <name val="Arial Narrow"/>
      <family val="2"/>
    </font>
    <font>
      <sz val="9"/>
      <color theme="1"/>
      <name val="Arial Narrow"/>
      <family val="2"/>
    </font>
    <font>
      <sz val="8"/>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39997558519241921"/>
        <bgColor indexed="64"/>
      </patternFill>
    </fill>
  </fills>
  <borders count="65">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hair">
        <color theme="6" tint="-0.249977111117893"/>
      </left>
      <right style="hair">
        <color theme="6" tint="-0.249977111117893"/>
      </right>
      <top style="hair">
        <color theme="6" tint="-0.249977111117893"/>
      </top>
      <bottom/>
      <diagonal/>
    </border>
    <border>
      <left style="hair">
        <color theme="6" tint="-0.249977111117893"/>
      </left>
      <right style="hair">
        <color theme="6" tint="-0.249977111117893"/>
      </right>
      <top/>
      <bottom style="hair">
        <color theme="6" tint="-0.249977111117893"/>
      </bottom>
      <diagonal/>
    </border>
    <border>
      <left style="hair">
        <color theme="6" tint="-0.249977111117893"/>
      </left>
      <right style="hair">
        <color theme="6" tint="-0.249977111117893"/>
      </right>
      <top/>
      <bottom/>
      <diagonal/>
    </border>
  </borders>
  <cellStyleXfs count="5">
    <xf numFmtId="0" fontId="0" fillId="0" borderId="0"/>
    <xf numFmtId="9" fontId="13" fillId="0" borderId="0" applyFont="0" applyFill="0" applyBorder="0" applyAlignment="0" applyProtection="0"/>
    <xf numFmtId="0" fontId="46" fillId="0" borderId="0"/>
    <xf numFmtId="0" fontId="47" fillId="0" borderId="0"/>
    <xf numFmtId="0" fontId="5" fillId="0" borderId="0"/>
  </cellStyleXfs>
  <cellXfs count="384">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1"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2"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2"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8" fillId="3" borderId="37" xfId="2" applyFont="1" applyFill="1" applyBorder="1" applyProtection="1"/>
    <xf numFmtId="0" fontId="48" fillId="3" borderId="38" xfId="2" applyFont="1" applyFill="1" applyBorder="1" applyProtection="1"/>
    <xf numFmtId="0" fontId="48" fillId="3" borderId="39" xfId="2" applyFont="1" applyFill="1" applyBorder="1" applyProtection="1"/>
    <xf numFmtId="0" fontId="15" fillId="3" borderId="0" xfId="0" applyFont="1" applyFill="1" applyAlignment="1">
      <alignment vertical="center"/>
    </xf>
    <xf numFmtId="0" fontId="5" fillId="3" borderId="0" xfId="0" applyFont="1" applyFill="1"/>
    <xf numFmtId="0" fontId="35" fillId="3" borderId="0" xfId="0" applyFont="1" applyFill="1"/>
    <xf numFmtId="0" fontId="36" fillId="3" borderId="20" xfId="0" applyFont="1" applyFill="1" applyBorder="1" applyAlignment="1">
      <alignment horizontal="center" vertical="center" wrapText="1" readingOrder="1"/>
    </xf>
    <xf numFmtId="0" fontId="37" fillId="3" borderId="20" xfId="0" applyFont="1" applyFill="1" applyBorder="1" applyAlignment="1">
      <alignment horizontal="justify" vertical="center" wrapText="1" readingOrder="1"/>
    </xf>
    <xf numFmtId="9" fontId="36" fillId="3" borderId="29" xfId="0" applyNumberFormat="1"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7" fillId="3" borderId="19" xfId="0" applyFont="1" applyFill="1" applyBorder="1" applyAlignment="1">
      <alignment horizontal="justify" vertical="center" wrapText="1" readingOrder="1"/>
    </xf>
    <xf numFmtId="9" fontId="36" fillId="3" borderId="24" xfId="0" applyNumberFormat="1"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7" fillId="3" borderId="26" xfId="0" applyFont="1" applyFill="1" applyBorder="1" applyAlignment="1">
      <alignment horizontal="justify" vertical="center" wrapText="1" readingOrder="1"/>
    </xf>
    <xf numFmtId="0" fontId="37" fillId="3" borderId="27" xfId="0" applyFont="1" applyFill="1" applyBorder="1" applyAlignment="1">
      <alignment horizontal="center" vertical="center" wrapText="1" readingOrder="1"/>
    </xf>
    <xf numFmtId="0" fontId="45" fillId="3" borderId="0" xfId="0" applyFont="1" applyFill="1"/>
    <xf numFmtId="0" fontId="12" fillId="3" borderId="0" xfId="0" applyFont="1" applyFill="1"/>
    <xf numFmtId="0" fontId="30"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8" fillId="3" borderId="5"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6" xfId="2" applyFont="1" applyFill="1" applyBorder="1" applyProtection="1"/>
    <xf numFmtId="0" fontId="48" fillId="3" borderId="7" xfId="2" applyFont="1" applyFill="1" applyBorder="1" applyProtection="1"/>
    <xf numFmtId="0" fontId="48" fillId="3" borderId="9" xfId="2" applyFont="1" applyFill="1" applyBorder="1" applyProtection="1"/>
    <xf numFmtId="0" fontId="48" fillId="3" borderId="8"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6" xfId="2" applyFont="1" applyFill="1" applyBorder="1" applyAlignment="1" applyProtection="1"/>
    <xf numFmtId="0" fontId="50" fillId="3" borderId="5"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6" xfId="2" quotePrefix="1" applyFont="1" applyFill="1" applyBorder="1" applyAlignment="1" applyProtection="1">
      <alignment horizontal="left" vertical="top" wrapText="1"/>
    </xf>
    <xf numFmtId="0" fontId="1" fillId="3" borderId="61" xfId="0" applyFont="1" applyFill="1" applyBorder="1"/>
    <xf numFmtId="0" fontId="1" fillId="0" borderId="61" xfId="0" applyFont="1" applyBorder="1"/>
    <xf numFmtId="0" fontId="1" fillId="3" borderId="61" xfId="0" applyFont="1" applyFill="1" applyBorder="1" applyAlignment="1">
      <alignment horizontal="center" vertical="center"/>
    </xf>
    <xf numFmtId="0" fontId="1" fillId="3" borderId="61" xfId="0" applyFont="1" applyFill="1" applyBorder="1" applyAlignment="1">
      <alignment horizontal="center"/>
    </xf>
    <xf numFmtId="0" fontId="4" fillId="3" borderId="61" xfId="0" applyFont="1" applyFill="1" applyBorder="1" applyAlignment="1">
      <alignment horizontal="center" vertical="center"/>
    </xf>
    <xf numFmtId="0" fontId="4" fillId="2" borderId="61" xfId="0" applyFont="1" applyFill="1" applyBorder="1" applyAlignment="1">
      <alignment horizontal="center" vertical="center"/>
    </xf>
    <xf numFmtId="0" fontId="1" fillId="0" borderId="61" xfId="0" applyFont="1" applyBorder="1" applyAlignment="1" applyProtection="1">
      <alignment horizontal="center" vertical="center"/>
    </xf>
    <xf numFmtId="0" fontId="6"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textRotation="90"/>
      <protection locked="0"/>
    </xf>
    <xf numFmtId="9" fontId="1" fillId="0" borderId="61" xfId="0" applyNumberFormat="1" applyFont="1" applyBorder="1" applyAlignment="1" applyProtection="1">
      <alignment horizontal="center" vertical="center"/>
      <protection hidden="1"/>
    </xf>
    <xf numFmtId="164" fontId="1" fillId="0" borderId="61" xfId="1" applyNumberFormat="1" applyFont="1" applyBorder="1" applyAlignment="1">
      <alignment horizontal="center" vertical="center"/>
    </xf>
    <xf numFmtId="0" fontId="4" fillId="0" borderId="61" xfId="0" applyFont="1" applyFill="1" applyBorder="1" applyAlignment="1" applyProtection="1">
      <alignment horizontal="center" vertical="center" textRotation="90" wrapText="1"/>
      <protection hidden="1"/>
    </xf>
    <xf numFmtId="0" fontId="4" fillId="0" borderId="61" xfId="0" applyFont="1" applyBorder="1" applyAlignment="1" applyProtection="1">
      <alignment horizontal="center" vertical="center" textRotation="90"/>
      <protection hidden="1"/>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14" fontId="1" fillId="0" borderId="61" xfId="0" applyNumberFormat="1" applyFont="1" applyBorder="1" applyAlignment="1" applyProtection="1">
      <alignment horizontal="center" vertical="center"/>
      <protection locked="0"/>
    </xf>
    <xf numFmtId="0" fontId="1" fillId="3" borderId="61" xfId="0" applyFont="1" applyFill="1" applyBorder="1" applyAlignment="1">
      <alignment vertical="center"/>
    </xf>
    <xf numFmtId="0" fontId="1" fillId="0" borderId="61" xfId="0" applyFont="1" applyBorder="1" applyAlignment="1">
      <alignment vertical="center"/>
    </xf>
    <xf numFmtId="0" fontId="1" fillId="0" borderId="61" xfId="0" applyFont="1" applyBorder="1" applyAlignment="1" applyProtection="1">
      <alignment horizontal="justify" vertical="center"/>
      <protection locked="0"/>
    </xf>
    <xf numFmtId="164" fontId="1" fillId="9" borderId="61" xfId="1" applyNumberFormat="1" applyFont="1" applyFill="1" applyBorder="1" applyAlignment="1">
      <alignment horizontal="center" vertical="center"/>
    </xf>
    <xf numFmtId="0" fontId="1" fillId="0" borderId="61" xfId="0" applyFont="1" applyBorder="1" applyAlignment="1">
      <alignment horizontal="center" vertical="center"/>
    </xf>
    <xf numFmtId="0" fontId="1" fillId="0" borderId="61" xfId="0" applyFont="1" applyBorder="1" applyAlignment="1">
      <alignment horizontal="center"/>
    </xf>
    <xf numFmtId="0" fontId="4" fillId="14" borderId="61" xfId="0" applyFont="1" applyFill="1" applyBorder="1" applyAlignment="1">
      <alignment horizontal="center" vertical="center" textRotation="90"/>
    </xf>
    <xf numFmtId="0" fontId="1" fillId="0" borderId="62" xfId="0" applyFont="1" applyBorder="1" applyAlignment="1">
      <alignment horizontal="center" vertical="center"/>
    </xf>
    <xf numFmtId="0" fontId="1" fillId="0" borderId="62" xfId="0" applyFont="1" applyBorder="1"/>
    <xf numFmtId="0" fontId="1" fillId="0" borderId="62" xfId="0" applyFont="1" applyBorder="1" applyAlignment="1">
      <alignment horizontal="center"/>
    </xf>
    <xf numFmtId="0" fontId="1" fillId="0" borderId="63" xfId="0" applyFont="1" applyBorder="1" applyAlignment="1">
      <alignment horizontal="center" vertical="center"/>
    </xf>
    <xf numFmtId="0" fontId="1" fillId="0" borderId="63" xfId="0" applyFont="1" applyBorder="1"/>
    <xf numFmtId="0" fontId="1" fillId="0" borderId="63" xfId="0" applyFont="1" applyBorder="1" applyAlignment="1">
      <alignment horizontal="center"/>
    </xf>
    <xf numFmtId="0" fontId="36" fillId="14" borderId="31" xfId="0" applyFont="1" applyFill="1" applyBorder="1" applyAlignment="1">
      <alignment horizontal="center" vertical="center" wrapText="1" readingOrder="1"/>
    </xf>
    <xf numFmtId="0" fontId="36" fillId="14" borderId="32" xfId="0" applyFont="1" applyFill="1" applyBorder="1" applyAlignment="1">
      <alignment horizontal="center" vertical="center" wrapText="1" readingOrder="1"/>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Continuous"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60" fillId="3" borderId="0" xfId="2" applyFont="1" applyFill="1" applyBorder="1" applyProtection="1"/>
    <xf numFmtId="0" fontId="60" fillId="3" borderId="0" xfId="2" applyFont="1" applyFill="1" applyBorder="1" applyAlignment="1" applyProtection="1">
      <alignment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left" vertical="center" wrapText="1"/>
      <protection locked="0"/>
    </xf>
    <xf numFmtId="0" fontId="54" fillId="3" borderId="50" xfId="2" applyFont="1" applyFill="1" applyBorder="1" applyAlignment="1" applyProtection="1">
      <alignment horizontal="left" vertical="center" wrapText="1"/>
    </xf>
    <xf numFmtId="0" fontId="54" fillId="3" borderId="51" xfId="2" applyFont="1" applyFill="1" applyBorder="1" applyAlignment="1" applyProtection="1">
      <alignment horizontal="left" vertical="center" wrapText="1"/>
    </xf>
    <xf numFmtId="0" fontId="53" fillId="3" borderId="48" xfId="0" applyFont="1" applyFill="1" applyBorder="1" applyAlignment="1" applyProtection="1">
      <alignment horizontal="left" vertical="center" wrapText="1"/>
    </xf>
    <xf numFmtId="0" fontId="53" fillId="3" borderId="49" xfId="0" applyFont="1" applyFill="1" applyBorder="1" applyAlignment="1" applyProtection="1">
      <alignment horizontal="left" vertical="center" wrapText="1"/>
    </xf>
    <xf numFmtId="0" fontId="54" fillId="3" borderId="50" xfId="2" applyFont="1" applyFill="1" applyBorder="1" applyAlignment="1" applyProtection="1">
      <alignment horizontal="justify" vertical="center" wrapText="1"/>
    </xf>
    <xf numFmtId="0" fontId="54" fillId="3" borderId="51" xfId="2" applyFont="1" applyFill="1" applyBorder="1" applyAlignment="1" applyProtection="1">
      <alignment horizontal="justify" vertical="center" wrapText="1"/>
    </xf>
    <xf numFmtId="0" fontId="49" fillId="14" borderId="34" xfId="2" applyFont="1" applyFill="1" applyBorder="1" applyAlignment="1" applyProtection="1">
      <alignment horizontal="center" vertical="center" wrapText="1"/>
    </xf>
    <xf numFmtId="0" fontId="49" fillId="14" borderId="35" xfId="2" applyFont="1" applyFill="1" applyBorder="1" applyAlignment="1" applyProtection="1">
      <alignment horizontal="center" vertical="center" wrapText="1"/>
    </xf>
    <xf numFmtId="0" fontId="49" fillId="14" borderId="36" xfId="2" applyFont="1" applyFill="1" applyBorder="1" applyAlignment="1" applyProtection="1">
      <alignment horizontal="center" vertical="center" wrapText="1"/>
    </xf>
    <xf numFmtId="0" fontId="48" fillId="0" borderId="5"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6" xfId="2" quotePrefix="1" applyFont="1" applyBorder="1" applyAlignment="1" applyProtection="1">
      <alignment horizontal="left" vertical="center" wrapText="1"/>
    </xf>
    <xf numFmtId="0" fontId="48" fillId="0" borderId="54" xfId="2" quotePrefix="1" applyFont="1" applyBorder="1" applyAlignment="1" applyProtection="1">
      <alignment horizontal="left" vertical="center" wrapText="1"/>
    </xf>
    <xf numFmtId="0" fontId="48" fillId="0" borderId="55"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50" fillId="3" borderId="37" xfId="2" quotePrefix="1" applyFont="1" applyFill="1" applyBorder="1" applyAlignment="1" applyProtection="1">
      <alignment horizontal="left" vertical="top" wrapText="1"/>
    </xf>
    <xf numFmtId="0" fontId="51" fillId="3" borderId="38" xfId="2" quotePrefix="1" applyFont="1" applyFill="1" applyBorder="1" applyAlignment="1" applyProtection="1">
      <alignment horizontal="left" vertical="top" wrapText="1"/>
    </xf>
    <xf numFmtId="0" fontId="51" fillId="3" borderId="39" xfId="2" quotePrefix="1" applyFont="1" applyFill="1" applyBorder="1" applyAlignment="1" applyProtection="1">
      <alignment horizontal="left" vertical="top" wrapText="1"/>
    </xf>
    <xf numFmtId="0" fontId="48" fillId="0" borderId="5"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6" xfId="2" quotePrefix="1" applyFont="1" applyBorder="1" applyAlignment="1" applyProtection="1">
      <alignment horizontal="left" vertical="top" wrapText="1"/>
    </xf>
    <xf numFmtId="0" fontId="53" fillId="14" borderId="40" xfId="3" applyFont="1" applyFill="1" applyBorder="1" applyAlignment="1" applyProtection="1">
      <alignment horizontal="center" vertical="center" wrapText="1"/>
    </xf>
    <xf numFmtId="0" fontId="53" fillId="14" borderId="41" xfId="3" applyFont="1" applyFill="1" applyBorder="1" applyAlignment="1" applyProtection="1">
      <alignment horizontal="center" vertical="center" wrapText="1"/>
    </xf>
    <xf numFmtId="0" fontId="53" fillId="14" borderId="42" xfId="2" applyFont="1" applyFill="1" applyBorder="1" applyAlignment="1" applyProtection="1">
      <alignment horizontal="center" vertical="center"/>
    </xf>
    <xf numFmtId="0" fontId="53"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53" fillId="3" borderId="44" xfId="3" applyFont="1" applyFill="1" applyBorder="1" applyAlignment="1" applyProtection="1">
      <alignment horizontal="left" vertical="top" wrapText="1" readingOrder="1"/>
    </xf>
    <xf numFmtId="0" fontId="53" fillId="3" borderId="45" xfId="3" applyFont="1" applyFill="1" applyBorder="1" applyAlignment="1" applyProtection="1">
      <alignment horizontal="left" vertical="top" wrapText="1" readingOrder="1"/>
    </xf>
    <xf numFmtId="0" fontId="54" fillId="3" borderId="46" xfId="2" applyFont="1" applyFill="1" applyBorder="1" applyAlignment="1" applyProtection="1">
      <alignment horizontal="justify" vertical="center" wrapText="1"/>
    </xf>
    <xf numFmtId="0" fontId="54" fillId="3" borderId="47" xfId="2" applyFont="1" applyFill="1" applyBorder="1" applyAlignment="1" applyProtection="1">
      <alignment horizontal="justify"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3" fillId="3" borderId="57" xfId="3" applyFont="1" applyFill="1" applyBorder="1" applyAlignment="1" applyProtection="1">
      <alignment horizontal="left" vertical="center" wrapText="1" readingOrder="1"/>
    </xf>
    <xf numFmtId="0" fontId="53" fillId="3" borderId="58" xfId="3" applyFont="1" applyFill="1" applyBorder="1" applyAlignment="1" applyProtection="1">
      <alignment horizontal="left" vertical="center" wrapText="1" readingOrder="1"/>
    </xf>
    <xf numFmtId="0" fontId="53" fillId="3" borderId="57" xfId="0" applyFont="1" applyFill="1" applyBorder="1" applyAlignment="1" applyProtection="1">
      <alignment horizontal="left" vertical="center" wrapText="1"/>
    </xf>
    <xf numFmtId="0" fontId="53" fillId="3" borderId="58" xfId="0" applyFont="1" applyFill="1" applyBorder="1" applyAlignment="1" applyProtection="1">
      <alignment horizontal="left" vertical="center" wrapText="1"/>
    </xf>
    <xf numFmtId="0" fontId="48" fillId="3" borderId="5"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6" xfId="2" applyFont="1" applyFill="1" applyBorder="1" applyAlignment="1" applyProtection="1">
      <alignment horizontal="left" vertical="top"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4" fillId="3" borderId="52" xfId="0" applyFont="1" applyFill="1" applyBorder="1" applyAlignment="1" applyProtection="1">
      <alignment horizontal="justify" vertical="center" wrapText="1"/>
    </xf>
    <xf numFmtId="0" fontId="54" fillId="3" borderId="53" xfId="0" applyFont="1" applyFill="1" applyBorder="1" applyAlignment="1" applyProtection="1">
      <alignment horizontal="justify" vertical="center" wrapText="1"/>
    </xf>
    <xf numFmtId="0" fontId="4" fillId="14" borderId="62" xfId="0" applyFont="1" applyFill="1" applyBorder="1" applyAlignment="1">
      <alignment horizontal="center" vertical="center" wrapText="1"/>
    </xf>
    <xf numFmtId="0" fontId="4" fillId="14" borderId="63" xfId="0" applyFont="1" applyFill="1" applyBorder="1" applyAlignment="1">
      <alignment horizontal="center" vertical="center" wrapText="1"/>
    </xf>
    <xf numFmtId="0" fontId="2" fillId="0" borderId="6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1" fillId="0" borderId="61" xfId="0" applyFont="1" applyBorder="1" applyAlignment="1">
      <alignment horizontal="left" vertical="center" wrapText="1"/>
    </xf>
    <xf numFmtId="9" fontId="1" fillId="0" borderId="61" xfId="0" applyNumberFormat="1" applyFont="1" applyBorder="1" applyAlignment="1" applyProtection="1">
      <alignment horizontal="center" vertical="center" wrapText="1"/>
      <protection locked="0"/>
    </xf>
    <xf numFmtId="9" fontId="1" fillId="0" borderId="61" xfId="0" applyNumberFormat="1" applyFont="1" applyBorder="1" applyAlignment="1" applyProtection="1">
      <alignment horizontal="center" vertical="center" wrapText="1"/>
      <protection hidden="1"/>
    </xf>
    <xf numFmtId="0" fontId="4" fillId="0" borderId="61" xfId="0" applyFont="1" applyFill="1" applyBorder="1" applyAlignment="1" applyProtection="1">
      <alignment horizontal="center" vertical="center" wrapText="1"/>
      <protection hidden="1"/>
    </xf>
    <xf numFmtId="0" fontId="4"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left" vertical="center" wrapText="1"/>
      <protection locked="0"/>
    </xf>
    <xf numFmtId="0" fontId="1" fillId="0" borderId="62" xfId="0" applyFont="1" applyBorder="1" applyAlignment="1" applyProtection="1">
      <alignment horizontal="left" vertical="center" wrapText="1"/>
    </xf>
    <xf numFmtId="0" fontId="1" fillId="0" borderId="64" xfId="0" applyFont="1" applyBorder="1" applyAlignment="1" applyProtection="1">
      <alignment horizontal="left" vertical="center" wrapText="1"/>
    </xf>
    <xf numFmtId="0" fontId="1" fillId="0" borderId="63" xfId="0" applyFont="1" applyBorder="1" applyAlignment="1" applyProtection="1">
      <alignment horizontal="left" vertical="center" wrapText="1"/>
    </xf>
    <xf numFmtId="0" fontId="1" fillId="0" borderId="62" xfId="0" applyFont="1" applyBorder="1" applyAlignment="1" applyProtection="1">
      <alignment horizontal="center" vertical="center" wrapText="1"/>
    </xf>
    <xf numFmtId="0" fontId="1" fillId="0" borderId="64"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4" fillId="14" borderId="61" xfId="0" applyFont="1" applyFill="1" applyBorder="1" applyAlignment="1">
      <alignment horizontal="center" vertical="center" textRotation="90" wrapText="1"/>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 vertical="center"/>
    </xf>
    <xf numFmtId="0" fontId="58" fillId="14" borderId="61" xfId="0" applyFont="1" applyFill="1" applyBorder="1" applyAlignment="1">
      <alignment horizontal="center" vertical="center"/>
    </xf>
    <xf numFmtId="0" fontId="1" fillId="0" borderId="62" xfId="0" applyFont="1" applyBorder="1" applyAlignment="1" applyProtection="1">
      <alignment horizontal="center" vertical="center"/>
    </xf>
    <xf numFmtId="0" fontId="1" fillId="0" borderId="64" xfId="0" applyFont="1" applyBorder="1" applyAlignment="1" applyProtection="1">
      <alignment horizontal="center" vertical="center"/>
    </xf>
    <xf numFmtId="0" fontId="1" fillId="0" borderId="63" xfId="0" applyFont="1" applyBorder="1" applyAlignment="1" applyProtection="1">
      <alignment horizontal="center" vertical="center"/>
    </xf>
    <xf numFmtId="0" fontId="2" fillId="0" borderId="62"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24" fillId="0" borderId="0" xfId="0" applyFont="1" applyAlignment="1">
      <alignment horizontal="center" vertical="center" wrapText="1"/>
    </xf>
    <xf numFmtId="0" fontId="19" fillId="5" borderId="5"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42" fillId="0" borderId="3" xfId="0" applyFont="1" applyBorder="1" applyAlignment="1">
      <alignment horizontal="center" vertical="center" wrapText="1"/>
    </xf>
    <xf numFmtId="0" fontId="42" fillId="0" borderId="10"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wrapText="1"/>
    </xf>
    <xf numFmtId="0" fontId="41" fillId="11" borderId="11"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0" xfId="0" applyFont="1" applyBorder="1" applyAlignment="1">
      <alignment horizontal="center" vertical="center"/>
    </xf>
    <xf numFmtId="0" fontId="41" fillId="12" borderId="11" xfId="0" applyFont="1" applyFill="1" applyBorder="1" applyAlignment="1">
      <alignment horizontal="center" vertical="center" wrapText="1" readingOrder="1"/>
    </xf>
    <xf numFmtId="0" fontId="41" fillId="12" borderId="12" xfId="0" applyFont="1" applyFill="1" applyBorder="1" applyAlignment="1">
      <alignment horizontal="center" vertical="center" wrapText="1" readingOrder="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0" fillId="0" borderId="0" xfId="0" applyFont="1" applyAlignment="1">
      <alignment horizontal="center" vertical="center" wrapText="1"/>
    </xf>
    <xf numFmtId="0" fontId="21" fillId="0" borderId="0" xfId="0" applyFont="1" applyAlignment="1">
      <alignment horizontal="center" vertical="center" wrapText="1"/>
    </xf>
    <xf numFmtId="0" fontId="41" fillId="5" borderId="11" xfId="0" applyFont="1" applyFill="1" applyBorder="1" applyAlignment="1">
      <alignment horizontal="center" vertical="center" wrapText="1" readingOrder="1"/>
    </xf>
    <xf numFmtId="0" fontId="41" fillId="5" borderId="12" xfId="0" applyFont="1" applyFill="1" applyBorder="1" applyAlignment="1">
      <alignment horizontal="center" vertical="center" wrapText="1" readingOrder="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13" borderId="11" xfId="0" applyFont="1" applyFill="1" applyBorder="1" applyAlignment="1">
      <alignment horizontal="center" vertical="center" wrapText="1" readingOrder="1"/>
    </xf>
    <xf numFmtId="0" fontId="41" fillId="13" borderId="12"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23" fillId="0" borderId="0" xfId="0" applyFont="1" applyAlignment="1">
      <alignment horizontal="center" vertical="center"/>
    </xf>
    <xf numFmtId="0" fontId="44" fillId="0" borderId="0" xfId="0" applyFont="1" applyAlignment="1">
      <alignment horizontal="center" vertical="center"/>
    </xf>
    <xf numFmtId="0" fontId="39" fillId="14" borderId="21" xfId="0" applyFont="1" applyFill="1" applyBorder="1" applyAlignment="1">
      <alignment horizontal="center" vertical="center" wrapText="1" readingOrder="1"/>
    </xf>
    <xf numFmtId="0" fontId="39" fillId="14" borderId="22" xfId="0" applyFont="1" applyFill="1" applyBorder="1" applyAlignment="1">
      <alignment horizontal="center" vertical="center" wrapText="1" readingOrder="1"/>
    </xf>
    <xf numFmtId="0" fontId="39" fillId="14" borderId="33"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4" borderId="30" xfId="0" applyFont="1" applyFill="1" applyBorder="1" applyAlignment="1">
      <alignment horizontal="center" vertical="center" wrapText="1" readingOrder="1"/>
    </xf>
    <xf numFmtId="0" fontId="36" fillId="14" borderId="3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6" fillId="3" borderId="23" xfId="0" applyFont="1" applyFill="1" applyBorder="1" applyAlignment="1">
      <alignment horizontal="center" vertical="center" wrapText="1" readingOrder="1"/>
    </xf>
    <xf numFmtId="0" fontId="36" fillId="3" borderId="20" xfId="0"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1" fillId="0" borderId="61" xfId="0" applyFont="1" applyBorder="1" applyAlignment="1" applyProtection="1">
      <alignment vertical="center" wrapText="1"/>
      <protection locked="0"/>
    </xf>
  </cellXfs>
  <cellStyles count="5">
    <cellStyle name="Normal" xfId="0" builtinId="0"/>
    <cellStyle name="Normal - Style1 2" xfId="2"/>
    <cellStyle name="Normal 2" xfId="4"/>
    <cellStyle name="Normal 2 2" xfId="3"/>
    <cellStyle name="Porcentaje" xfId="1" builtinId="5"/>
  </cellStyles>
  <dxfs count="471">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44"/>
  <sheetViews>
    <sheetView topLeftCell="A31" zoomScale="98" zoomScaleNormal="98" workbookViewId="0">
      <selection activeCell="E22" sqref="E22:F22"/>
    </sheetView>
  </sheetViews>
  <sheetFormatPr baseColWidth="10" defaultColWidth="11.42578125" defaultRowHeight="15" x14ac:dyDescent="0.25"/>
  <cols>
    <col min="1" max="1" width="2.85546875" style="70" customWidth="1"/>
    <col min="2" max="2" width="32.5703125" style="70" customWidth="1"/>
    <col min="3" max="3" width="28.42578125" style="70" customWidth="1"/>
    <col min="4" max="4" width="19.7109375" style="70" customWidth="1"/>
    <col min="5" max="5" width="31.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60" t="s">
        <v>159</v>
      </c>
      <c r="C2" s="161"/>
      <c r="D2" s="161"/>
      <c r="E2" s="161"/>
      <c r="F2" s="161"/>
      <c r="G2" s="161"/>
      <c r="H2" s="162"/>
    </row>
    <row r="3" spans="2:8" x14ac:dyDescent="0.25">
      <c r="B3" s="71"/>
      <c r="C3" s="72"/>
      <c r="D3" s="72"/>
      <c r="E3" s="72"/>
      <c r="F3" s="72"/>
      <c r="G3" s="72"/>
      <c r="H3" s="73"/>
    </row>
    <row r="4" spans="2:8" ht="63" customHeight="1" x14ac:dyDescent="0.25">
      <c r="B4" s="163" t="s">
        <v>186</v>
      </c>
      <c r="C4" s="164"/>
      <c r="D4" s="164"/>
      <c r="E4" s="164"/>
      <c r="F4" s="164"/>
      <c r="G4" s="164"/>
      <c r="H4" s="165"/>
    </row>
    <row r="5" spans="2:8" ht="63" customHeight="1" x14ac:dyDescent="0.25">
      <c r="B5" s="166"/>
      <c r="C5" s="167"/>
      <c r="D5" s="167"/>
      <c r="E5" s="167"/>
      <c r="F5" s="167"/>
      <c r="G5" s="167"/>
      <c r="H5" s="168"/>
    </row>
    <row r="6" spans="2:8" ht="16.5" x14ac:dyDescent="0.25">
      <c r="B6" s="169" t="s">
        <v>157</v>
      </c>
      <c r="C6" s="170"/>
      <c r="D6" s="170"/>
      <c r="E6" s="170"/>
      <c r="F6" s="170"/>
      <c r="G6" s="170"/>
      <c r="H6" s="171"/>
    </row>
    <row r="7" spans="2:8" ht="95.25" customHeight="1" x14ac:dyDescent="0.25">
      <c r="B7" s="179" t="s">
        <v>187</v>
      </c>
      <c r="C7" s="180"/>
      <c r="D7" s="180"/>
      <c r="E7" s="180"/>
      <c r="F7" s="180"/>
      <c r="G7" s="180"/>
      <c r="H7" s="181"/>
    </row>
    <row r="8" spans="2:8" ht="16.5" x14ac:dyDescent="0.25">
      <c r="B8" s="106"/>
      <c r="C8" s="107"/>
      <c r="D8" s="107"/>
      <c r="E8" s="107"/>
      <c r="F8" s="107"/>
      <c r="G8" s="107"/>
      <c r="H8" s="108"/>
    </row>
    <row r="9" spans="2:8" ht="16.5" customHeight="1" x14ac:dyDescent="0.25">
      <c r="B9" s="172" t="s">
        <v>179</v>
      </c>
      <c r="C9" s="173"/>
      <c r="D9" s="173"/>
      <c r="E9" s="173"/>
      <c r="F9" s="173"/>
      <c r="G9" s="173"/>
      <c r="H9" s="174"/>
    </row>
    <row r="10" spans="2:8" ht="44.25" customHeight="1" x14ac:dyDescent="0.25">
      <c r="B10" s="172"/>
      <c r="C10" s="173"/>
      <c r="D10" s="173"/>
      <c r="E10" s="173"/>
      <c r="F10" s="173"/>
      <c r="G10" s="173"/>
      <c r="H10" s="174"/>
    </row>
    <row r="11" spans="2:8" ht="15.75" thickBot="1" x14ac:dyDescent="0.3">
      <c r="B11" s="94"/>
      <c r="C11" s="97"/>
      <c r="D11" s="102"/>
      <c r="E11" s="103"/>
      <c r="F11" s="103"/>
      <c r="G11" s="104"/>
      <c r="H11" s="105"/>
    </row>
    <row r="12" spans="2:8" ht="15.75" thickTop="1" x14ac:dyDescent="0.25">
      <c r="B12" s="94"/>
      <c r="C12" s="175" t="s">
        <v>158</v>
      </c>
      <c r="D12" s="176"/>
      <c r="E12" s="177" t="s">
        <v>180</v>
      </c>
      <c r="F12" s="178"/>
      <c r="G12" s="97"/>
      <c r="H12" s="98"/>
    </row>
    <row r="13" spans="2:8" ht="81.599999999999994" customHeight="1" x14ac:dyDescent="0.25">
      <c r="B13" s="94"/>
      <c r="C13" s="182" t="s">
        <v>160</v>
      </c>
      <c r="D13" s="183"/>
      <c r="E13" s="184" t="s">
        <v>196</v>
      </c>
      <c r="F13" s="185"/>
      <c r="G13" s="97"/>
      <c r="H13" s="98"/>
    </row>
    <row r="14" spans="2:8" x14ac:dyDescent="0.25">
      <c r="B14" s="94"/>
      <c r="C14" s="188" t="s">
        <v>190</v>
      </c>
      <c r="D14" s="189"/>
      <c r="E14" s="154" t="s">
        <v>197</v>
      </c>
      <c r="F14" s="155"/>
      <c r="G14" s="97"/>
      <c r="H14" s="98"/>
    </row>
    <row r="15" spans="2:8" ht="32.25" customHeight="1" x14ac:dyDescent="0.25">
      <c r="B15" s="94"/>
      <c r="C15" s="186" t="s">
        <v>191</v>
      </c>
      <c r="D15" s="187"/>
      <c r="E15" s="154" t="s">
        <v>203</v>
      </c>
      <c r="F15" s="155"/>
      <c r="G15" s="97"/>
      <c r="H15" s="98"/>
    </row>
    <row r="16" spans="2:8" ht="28.5" customHeight="1" x14ac:dyDescent="0.25">
      <c r="B16" s="94"/>
      <c r="C16" s="156" t="s">
        <v>193</v>
      </c>
      <c r="D16" s="157"/>
      <c r="E16" s="158" t="s">
        <v>194</v>
      </c>
      <c r="F16" s="159"/>
      <c r="G16" s="97"/>
      <c r="H16" s="98"/>
    </row>
    <row r="17" spans="2:8" ht="32.25" customHeight="1" x14ac:dyDescent="0.25">
      <c r="B17" s="94"/>
      <c r="C17" s="147" t="s">
        <v>199</v>
      </c>
      <c r="D17" s="148"/>
      <c r="E17" s="154" t="s">
        <v>200</v>
      </c>
      <c r="F17" s="155"/>
      <c r="G17" s="97"/>
      <c r="H17" s="98"/>
    </row>
    <row r="18" spans="2:8" ht="72.75" customHeight="1" x14ac:dyDescent="0.25">
      <c r="B18" s="94"/>
      <c r="C18" s="156" t="s">
        <v>1</v>
      </c>
      <c r="D18" s="157"/>
      <c r="E18" s="158" t="s">
        <v>188</v>
      </c>
      <c r="F18" s="159"/>
      <c r="G18" s="97"/>
      <c r="H18" s="98"/>
    </row>
    <row r="19" spans="2:8" ht="64.5" customHeight="1" x14ac:dyDescent="0.25">
      <c r="B19" s="94"/>
      <c r="C19" s="156" t="s">
        <v>46</v>
      </c>
      <c r="D19" s="157"/>
      <c r="E19" s="158" t="s">
        <v>192</v>
      </c>
      <c r="F19" s="159"/>
      <c r="G19" s="149"/>
      <c r="H19" s="98"/>
    </row>
    <row r="20" spans="2:8" ht="62.25" customHeight="1" x14ac:dyDescent="0.25">
      <c r="B20" s="94"/>
      <c r="C20" s="156" t="s">
        <v>201</v>
      </c>
      <c r="D20" s="157"/>
      <c r="E20" s="158" t="s">
        <v>195</v>
      </c>
      <c r="F20" s="159"/>
      <c r="G20" s="149"/>
      <c r="H20" s="98"/>
    </row>
    <row r="21" spans="2:8" ht="71.25" customHeight="1" x14ac:dyDescent="0.25">
      <c r="B21" s="94"/>
      <c r="C21" s="156" t="s">
        <v>161</v>
      </c>
      <c r="D21" s="157"/>
      <c r="E21" s="158" t="s">
        <v>204</v>
      </c>
      <c r="F21" s="159"/>
      <c r="G21" s="149"/>
      <c r="H21" s="98"/>
    </row>
    <row r="22" spans="2:8" ht="55.5" customHeight="1" x14ac:dyDescent="0.25">
      <c r="B22" s="94"/>
      <c r="C22" s="190" t="s">
        <v>162</v>
      </c>
      <c r="D22" s="191"/>
      <c r="E22" s="158" t="s">
        <v>205</v>
      </c>
      <c r="F22" s="159"/>
      <c r="G22" s="150"/>
      <c r="H22" s="98"/>
    </row>
    <row r="23" spans="2:8" ht="42" customHeight="1" x14ac:dyDescent="0.25">
      <c r="B23" s="94"/>
      <c r="C23" s="190" t="s">
        <v>44</v>
      </c>
      <c r="D23" s="191"/>
      <c r="E23" s="158" t="s">
        <v>206</v>
      </c>
      <c r="F23" s="159"/>
      <c r="G23" s="97"/>
      <c r="H23" s="98"/>
    </row>
    <row r="24" spans="2:8" ht="59.25" customHeight="1" x14ac:dyDescent="0.25">
      <c r="B24" s="94"/>
      <c r="C24" s="190" t="s">
        <v>156</v>
      </c>
      <c r="D24" s="191"/>
      <c r="E24" s="158" t="s">
        <v>189</v>
      </c>
      <c r="F24" s="159"/>
      <c r="G24" s="97"/>
      <c r="H24" s="98"/>
    </row>
    <row r="25" spans="2:8" ht="23.25" customHeight="1" x14ac:dyDescent="0.25">
      <c r="B25" s="94"/>
      <c r="C25" s="190" t="s">
        <v>11</v>
      </c>
      <c r="D25" s="191"/>
      <c r="E25" s="158" t="s">
        <v>207</v>
      </c>
      <c r="F25" s="159"/>
      <c r="G25" s="97"/>
      <c r="H25" s="98"/>
    </row>
    <row r="26" spans="2:8" ht="30.75" customHeight="1" x14ac:dyDescent="0.25">
      <c r="B26" s="94"/>
      <c r="C26" s="190" t="s">
        <v>165</v>
      </c>
      <c r="D26" s="191"/>
      <c r="E26" s="158" t="s">
        <v>163</v>
      </c>
      <c r="F26" s="159"/>
      <c r="G26" s="97"/>
      <c r="H26" s="98"/>
    </row>
    <row r="27" spans="2:8" ht="35.25" customHeight="1" x14ac:dyDescent="0.25">
      <c r="B27" s="94"/>
      <c r="C27" s="190" t="s">
        <v>166</v>
      </c>
      <c r="D27" s="191"/>
      <c r="E27" s="158" t="s">
        <v>164</v>
      </c>
      <c r="F27" s="159"/>
      <c r="G27" s="97"/>
      <c r="H27" s="98"/>
    </row>
    <row r="28" spans="2:8" ht="33" customHeight="1" x14ac:dyDescent="0.25">
      <c r="B28" s="94"/>
      <c r="C28" s="190" t="s">
        <v>166</v>
      </c>
      <c r="D28" s="191"/>
      <c r="E28" s="158" t="s">
        <v>164</v>
      </c>
      <c r="F28" s="159"/>
      <c r="G28" s="97"/>
      <c r="H28" s="98"/>
    </row>
    <row r="29" spans="2:8" ht="30" customHeight="1" x14ac:dyDescent="0.25">
      <c r="B29" s="94"/>
      <c r="C29" s="190" t="s">
        <v>167</v>
      </c>
      <c r="D29" s="191"/>
      <c r="E29" s="158" t="s">
        <v>208</v>
      </c>
      <c r="F29" s="159"/>
      <c r="G29" s="97"/>
      <c r="H29" s="98"/>
    </row>
    <row r="30" spans="2:8" ht="35.25" customHeight="1" x14ac:dyDescent="0.25">
      <c r="B30" s="94"/>
      <c r="C30" s="190" t="s">
        <v>168</v>
      </c>
      <c r="D30" s="191"/>
      <c r="E30" s="158" t="s">
        <v>169</v>
      </c>
      <c r="F30" s="159"/>
      <c r="G30" s="97"/>
      <c r="H30" s="98"/>
    </row>
    <row r="31" spans="2:8" ht="31.5" customHeight="1" x14ac:dyDescent="0.25">
      <c r="B31" s="94"/>
      <c r="C31" s="190" t="s">
        <v>170</v>
      </c>
      <c r="D31" s="191"/>
      <c r="E31" s="158" t="s">
        <v>171</v>
      </c>
      <c r="F31" s="159"/>
      <c r="G31" s="97"/>
      <c r="H31" s="98"/>
    </row>
    <row r="32" spans="2:8" ht="35.25" customHeight="1" x14ac:dyDescent="0.25">
      <c r="B32" s="94"/>
      <c r="C32" s="190" t="s">
        <v>172</v>
      </c>
      <c r="D32" s="191"/>
      <c r="E32" s="158" t="s">
        <v>173</v>
      </c>
      <c r="F32" s="159"/>
      <c r="G32" s="97"/>
      <c r="H32" s="98"/>
    </row>
    <row r="33" spans="2:8" ht="59.25" customHeight="1" x14ac:dyDescent="0.25">
      <c r="B33" s="94"/>
      <c r="C33" s="190" t="s">
        <v>174</v>
      </c>
      <c r="D33" s="191"/>
      <c r="E33" s="158" t="s">
        <v>209</v>
      </c>
      <c r="F33" s="159"/>
      <c r="G33" s="97"/>
      <c r="H33" s="98"/>
    </row>
    <row r="34" spans="2:8" ht="41.45" customHeight="1" x14ac:dyDescent="0.25">
      <c r="B34" s="94"/>
      <c r="C34" s="190" t="s">
        <v>28</v>
      </c>
      <c r="D34" s="191"/>
      <c r="E34" s="158" t="s">
        <v>175</v>
      </c>
      <c r="F34" s="159"/>
      <c r="G34" s="97"/>
      <c r="H34" s="98"/>
    </row>
    <row r="35" spans="2:8" ht="96.6" customHeight="1" x14ac:dyDescent="0.25">
      <c r="B35" s="94"/>
      <c r="C35" s="190" t="s">
        <v>177</v>
      </c>
      <c r="D35" s="191"/>
      <c r="E35" s="158" t="s">
        <v>176</v>
      </c>
      <c r="F35" s="159"/>
      <c r="G35" s="97"/>
      <c r="H35" s="98"/>
    </row>
    <row r="36" spans="2:8" ht="52.15" customHeight="1" x14ac:dyDescent="0.25">
      <c r="B36" s="94"/>
      <c r="C36" s="190" t="s">
        <v>38</v>
      </c>
      <c r="D36" s="191"/>
      <c r="E36" s="158" t="s">
        <v>178</v>
      </c>
      <c r="F36" s="159"/>
      <c r="G36" s="97"/>
      <c r="H36" s="98"/>
    </row>
    <row r="37" spans="2:8" ht="12" customHeight="1" thickBot="1" x14ac:dyDescent="0.3">
      <c r="B37" s="94"/>
      <c r="C37" s="195"/>
      <c r="D37" s="196"/>
      <c r="E37" s="197"/>
      <c r="F37" s="198"/>
      <c r="G37" s="97"/>
      <c r="H37" s="98"/>
    </row>
    <row r="38" spans="2:8" ht="15.75" thickTop="1" x14ac:dyDescent="0.25">
      <c r="B38" s="94"/>
      <c r="C38" s="95"/>
      <c r="D38" s="95"/>
      <c r="E38" s="96"/>
      <c r="F38" s="96"/>
      <c r="G38" s="97"/>
      <c r="H38" s="98"/>
    </row>
    <row r="39" spans="2:8" ht="21" customHeight="1" x14ac:dyDescent="0.25">
      <c r="B39" s="192" t="s">
        <v>181</v>
      </c>
      <c r="C39" s="193"/>
      <c r="D39" s="193"/>
      <c r="E39" s="193"/>
      <c r="F39" s="193"/>
      <c r="G39" s="193"/>
      <c r="H39" s="194"/>
    </row>
    <row r="40" spans="2:8" ht="20.25" customHeight="1" x14ac:dyDescent="0.25">
      <c r="B40" s="192" t="s">
        <v>182</v>
      </c>
      <c r="C40" s="193"/>
      <c r="D40" s="193"/>
      <c r="E40" s="193"/>
      <c r="F40" s="193"/>
      <c r="G40" s="193"/>
      <c r="H40" s="194"/>
    </row>
    <row r="41" spans="2:8" ht="20.25" customHeight="1" x14ac:dyDescent="0.25">
      <c r="B41" s="192" t="s">
        <v>183</v>
      </c>
      <c r="C41" s="193"/>
      <c r="D41" s="193"/>
      <c r="E41" s="193"/>
      <c r="F41" s="193"/>
      <c r="G41" s="193"/>
      <c r="H41" s="194"/>
    </row>
    <row r="42" spans="2:8" ht="20.25" customHeight="1" x14ac:dyDescent="0.25">
      <c r="B42" s="192" t="s">
        <v>184</v>
      </c>
      <c r="C42" s="193"/>
      <c r="D42" s="193"/>
      <c r="E42" s="193"/>
      <c r="F42" s="193"/>
      <c r="G42" s="193"/>
      <c r="H42" s="194"/>
    </row>
    <row r="43" spans="2:8" x14ac:dyDescent="0.25">
      <c r="B43" s="192" t="s">
        <v>185</v>
      </c>
      <c r="C43" s="193"/>
      <c r="D43" s="193"/>
      <c r="E43" s="193"/>
      <c r="F43" s="193"/>
      <c r="G43" s="193"/>
      <c r="H43" s="194"/>
    </row>
    <row r="44" spans="2:8" ht="15.75" thickBot="1" x14ac:dyDescent="0.3">
      <c r="B44" s="99"/>
      <c r="C44" s="100"/>
      <c r="D44" s="100"/>
      <c r="E44" s="100"/>
      <c r="F44" s="100"/>
      <c r="G44" s="100"/>
      <c r="H44" s="101"/>
    </row>
  </sheetData>
  <mergeCells count="61">
    <mergeCell ref="B43:H43"/>
    <mergeCell ref="E30:F30"/>
    <mergeCell ref="C30:D30"/>
    <mergeCell ref="C16:D16"/>
    <mergeCell ref="E16:F16"/>
    <mergeCell ref="E24:F24"/>
    <mergeCell ref="C24:D24"/>
    <mergeCell ref="C27:D27"/>
    <mergeCell ref="E27:F27"/>
    <mergeCell ref="C29:D29"/>
    <mergeCell ref="E29:F29"/>
    <mergeCell ref="C35:D35"/>
    <mergeCell ref="B42:H42"/>
    <mergeCell ref="C31:D31"/>
    <mergeCell ref="E31:F31"/>
    <mergeCell ref="C32:D32"/>
    <mergeCell ref="E32:F32"/>
    <mergeCell ref="E35:F35"/>
    <mergeCell ref="C36:D36"/>
    <mergeCell ref="C37:D37"/>
    <mergeCell ref="E37:F37"/>
    <mergeCell ref="C33:D33"/>
    <mergeCell ref="E33:F33"/>
    <mergeCell ref="B39:H39"/>
    <mergeCell ref="B40:H40"/>
    <mergeCell ref="B41:H41"/>
    <mergeCell ref="E36:F36"/>
    <mergeCell ref="C34:D34"/>
    <mergeCell ref="E34:F34"/>
    <mergeCell ref="E25:F25"/>
    <mergeCell ref="C25:D25"/>
    <mergeCell ref="C26:D26"/>
    <mergeCell ref="E26:F26"/>
    <mergeCell ref="C28:D28"/>
    <mergeCell ref="E28:F28"/>
    <mergeCell ref="C23:D23"/>
    <mergeCell ref="C19:D19"/>
    <mergeCell ref="C21:D21"/>
    <mergeCell ref="C22:D22"/>
    <mergeCell ref="E19:F19"/>
    <mergeCell ref="E21:F21"/>
    <mergeCell ref="E22:F22"/>
    <mergeCell ref="E23:F23"/>
    <mergeCell ref="C20:D20"/>
    <mergeCell ref="E20:F20"/>
    <mergeCell ref="E17:F17"/>
    <mergeCell ref="C18:D18"/>
    <mergeCell ref="E18:F18"/>
    <mergeCell ref="B2:H2"/>
    <mergeCell ref="B4:H5"/>
    <mergeCell ref="B6:H6"/>
    <mergeCell ref="B9:H10"/>
    <mergeCell ref="C12:D12"/>
    <mergeCell ref="E12:F12"/>
    <mergeCell ref="B7:H7"/>
    <mergeCell ref="C13:D13"/>
    <mergeCell ref="E13:F13"/>
    <mergeCell ref="C15:D15"/>
    <mergeCell ref="E15:F15"/>
    <mergeCell ref="C14:D14"/>
    <mergeCell ref="E14:F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R129"/>
  <sheetViews>
    <sheetView tabSelected="1" topLeftCell="AC1" zoomScale="90" zoomScaleNormal="90" workbookViewId="0">
      <pane ySplit="6" topLeftCell="A7" activePane="bottomLeft" state="frozen"/>
      <selection pane="bottomLeft" activeCell="AK9" sqref="AK9"/>
    </sheetView>
  </sheetViews>
  <sheetFormatPr baseColWidth="10" defaultColWidth="11.42578125" defaultRowHeight="16.5" x14ac:dyDescent="0.3"/>
  <cols>
    <col min="1" max="1" width="4" style="130" bestFit="1" customWidth="1"/>
    <col min="2" max="2" width="24.28515625" style="130" customWidth="1"/>
    <col min="3" max="3" width="40.85546875" style="130" customWidth="1"/>
    <col min="4" max="4" width="33.85546875" style="130" customWidth="1"/>
    <col min="5" max="5" width="53.7109375" style="110" customWidth="1"/>
    <col min="6" max="6" width="47.7109375" style="110" customWidth="1"/>
    <col min="7" max="8" width="19" style="131" customWidth="1"/>
    <col min="9" max="9" width="17.85546875" style="110" customWidth="1"/>
    <col min="10" max="10" width="16.5703125" style="110" customWidth="1"/>
    <col min="11" max="11" width="6.28515625" style="110" bestFit="1" customWidth="1"/>
    <col min="12" max="12" width="27.28515625" style="110" bestFit="1" customWidth="1"/>
    <col min="13" max="13" width="16.7109375" style="110" customWidth="1"/>
    <col min="14" max="14" width="17.5703125" style="110" customWidth="1"/>
    <col min="15" max="15" width="6.28515625" style="110" bestFit="1" customWidth="1"/>
    <col min="16" max="16" width="16" style="110" customWidth="1"/>
    <col min="17" max="17" width="5.85546875" style="110" customWidth="1"/>
    <col min="18" max="18" width="31" style="110" customWidth="1"/>
    <col min="19" max="19" width="15.140625" style="110" bestFit="1" customWidth="1"/>
    <col min="20" max="20" width="6.85546875" style="110" customWidth="1"/>
    <col min="21" max="21" width="5" style="110" customWidth="1"/>
    <col min="22" max="22" width="5.5703125" style="110" customWidth="1"/>
    <col min="23" max="23" width="7.140625" style="110" customWidth="1"/>
    <col min="24" max="24" width="6.7109375" style="110" customWidth="1"/>
    <col min="25" max="25" width="7.5703125" style="110" customWidth="1"/>
    <col min="26" max="26" width="8" style="110" customWidth="1"/>
    <col min="27" max="27" width="8.7109375" style="110" customWidth="1"/>
    <col min="28" max="28" width="10.42578125" style="110" customWidth="1"/>
    <col min="29" max="29" width="9.28515625" style="110" customWidth="1"/>
    <col min="30" max="30" width="9.140625" style="110" customWidth="1"/>
    <col min="31" max="31" width="8.42578125" style="110" customWidth="1"/>
    <col min="32" max="32" width="7.28515625" style="110" customWidth="1"/>
    <col min="33" max="33" width="48" style="110" customWidth="1"/>
    <col min="34" max="34" width="18.85546875" style="110" customWidth="1"/>
    <col min="35" max="35" width="23.5703125" style="110" customWidth="1"/>
    <col min="36" max="36" width="20.5703125" style="110" customWidth="1"/>
    <col min="37" max="37" width="38.5703125" style="110" customWidth="1"/>
    <col min="38" max="38" width="21" style="110" customWidth="1"/>
    <col min="39" max="16384" width="11.42578125" style="110"/>
  </cols>
  <sheetData>
    <row r="1" spans="1:70" ht="16.5" customHeight="1" x14ac:dyDescent="0.3">
      <c r="A1" s="224" t="s">
        <v>137</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row>
    <row r="2" spans="1:70" ht="24" customHeight="1" x14ac:dyDescent="0.3">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row>
    <row r="3" spans="1:70" x14ac:dyDescent="0.3">
      <c r="A3" s="111"/>
      <c r="B3" s="111"/>
      <c r="C3" s="111"/>
      <c r="D3" s="111"/>
      <c r="E3" s="109"/>
      <c r="F3" s="109"/>
      <c r="G3" s="112"/>
      <c r="H3" s="112"/>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row>
    <row r="4" spans="1:70" x14ac:dyDescent="0.3">
      <c r="A4" s="223" t="s">
        <v>133</v>
      </c>
      <c r="B4" s="223"/>
      <c r="C4" s="223"/>
      <c r="D4" s="223"/>
      <c r="E4" s="223"/>
      <c r="F4" s="223"/>
      <c r="G4" s="223"/>
      <c r="H4" s="223"/>
      <c r="I4" s="223"/>
      <c r="J4" s="223" t="s">
        <v>134</v>
      </c>
      <c r="K4" s="223"/>
      <c r="L4" s="223"/>
      <c r="M4" s="223"/>
      <c r="N4" s="223"/>
      <c r="O4" s="223"/>
      <c r="P4" s="223"/>
      <c r="Q4" s="223" t="s">
        <v>135</v>
      </c>
      <c r="R4" s="223"/>
      <c r="S4" s="223"/>
      <c r="T4" s="223"/>
      <c r="U4" s="223"/>
      <c r="V4" s="223"/>
      <c r="W4" s="223"/>
      <c r="X4" s="223"/>
      <c r="Y4" s="223"/>
      <c r="Z4" s="223" t="s">
        <v>136</v>
      </c>
      <c r="AA4" s="223"/>
      <c r="AB4" s="223"/>
      <c r="AC4" s="223"/>
      <c r="AD4" s="223"/>
      <c r="AE4" s="223"/>
      <c r="AF4" s="223"/>
      <c r="AG4" s="223" t="s">
        <v>33</v>
      </c>
      <c r="AH4" s="223"/>
      <c r="AI4" s="223"/>
      <c r="AJ4" s="223"/>
      <c r="AK4" s="223"/>
      <c r="AL4" s="223"/>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1:70" ht="16.5" customHeight="1" x14ac:dyDescent="0.3">
      <c r="A5" s="222" t="s">
        <v>0</v>
      </c>
      <c r="B5" s="145"/>
      <c r="C5" s="145"/>
      <c r="D5" s="221" t="s">
        <v>193</v>
      </c>
      <c r="E5" s="221" t="s">
        <v>199</v>
      </c>
      <c r="F5" s="144"/>
      <c r="G5" s="221" t="s">
        <v>46</v>
      </c>
      <c r="H5" s="199" t="s">
        <v>201</v>
      </c>
      <c r="I5" s="221" t="s">
        <v>129</v>
      </c>
      <c r="J5" s="221" t="s">
        <v>32</v>
      </c>
      <c r="K5" s="223" t="s">
        <v>4</v>
      </c>
      <c r="L5" s="221" t="s">
        <v>83</v>
      </c>
      <c r="M5" s="221" t="s">
        <v>88</v>
      </c>
      <c r="N5" s="221" t="s">
        <v>41</v>
      </c>
      <c r="O5" s="223" t="s">
        <v>4</v>
      </c>
      <c r="P5" s="221" t="s">
        <v>44</v>
      </c>
      <c r="Q5" s="220" t="s">
        <v>10</v>
      </c>
      <c r="R5" s="221" t="s">
        <v>156</v>
      </c>
      <c r="S5" s="221" t="s">
        <v>11</v>
      </c>
      <c r="T5" s="221" t="s">
        <v>7</v>
      </c>
      <c r="U5" s="221"/>
      <c r="V5" s="221"/>
      <c r="W5" s="221"/>
      <c r="X5" s="221"/>
      <c r="Y5" s="221"/>
      <c r="Z5" s="220" t="s">
        <v>132</v>
      </c>
      <c r="AA5" s="220" t="s">
        <v>42</v>
      </c>
      <c r="AB5" s="220" t="s">
        <v>4</v>
      </c>
      <c r="AC5" s="220" t="s">
        <v>43</v>
      </c>
      <c r="AD5" s="220" t="s">
        <v>4</v>
      </c>
      <c r="AE5" s="220" t="s">
        <v>45</v>
      </c>
      <c r="AF5" s="220" t="s">
        <v>28</v>
      </c>
      <c r="AG5" s="221" t="s">
        <v>33</v>
      </c>
      <c r="AH5" s="221" t="s">
        <v>34</v>
      </c>
      <c r="AI5" s="221" t="s">
        <v>35</v>
      </c>
      <c r="AJ5" s="221" t="s">
        <v>37</v>
      </c>
      <c r="AK5" s="221" t="s">
        <v>36</v>
      </c>
      <c r="AL5" s="221" t="s">
        <v>38</v>
      </c>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row>
    <row r="6" spans="1:70" s="114" customFormat="1" ht="120" customHeight="1" x14ac:dyDescent="0.25">
      <c r="A6" s="222"/>
      <c r="B6" s="146" t="s">
        <v>190</v>
      </c>
      <c r="C6" s="146" t="s">
        <v>202</v>
      </c>
      <c r="D6" s="221"/>
      <c r="E6" s="221"/>
      <c r="F6" s="144" t="s">
        <v>198</v>
      </c>
      <c r="G6" s="221"/>
      <c r="H6" s="200"/>
      <c r="I6" s="221"/>
      <c r="J6" s="221"/>
      <c r="K6" s="223"/>
      <c r="L6" s="221"/>
      <c r="M6" s="221"/>
      <c r="N6" s="223"/>
      <c r="O6" s="223"/>
      <c r="P6" s="221"/>
      <c r="Q6" s="220"/>
      <c r="R6" s="221"/>
      <c r="S6" s="221"/>
      <c r="T6" s="132" t="s">
        <v>12</v>
      </c>
      <c r="U6" s="132" t="s">
        <v>16</v>
      </c>
      <c r="V6" s="132" t="s">
        <v>27</v>
      </c>
      <c r="W6" s="132" t="s">
        <v>17</v>
      </c>
      <c r="X6" s="132" t="s">
        <v>20</v>
      </c>
      <c r="Y6" s="132" t="s">
        <v>23</v>
      </c>
      <c r="Z6" s="220"/>
      <c r="AA6" s="220"/>
      <c r="AB6" s="220"/>
      <c r="AC6" s="220"/>
      <c r="AD6" s="220"/>
      <c r="AE6" s="220"/>
      <c r="AF6" s="220"/>
      <c r="AG6" s="221"/>
      <c r="AH6" s="221"/>
      <c r="AI6" s="221"/>
      <c r="AJ6" s="221"/>
      <c r="AK6" s="221"/>
      <c r="AL6" s="221"/>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row>
    <row r="7" spans="1:70" s="127" customFormat="1" ht="214.5" x14ac:dyDescent="0.25">
      <c r="A7" s="210">
        <v>1</v>
      </c>
      <c r="B7" s="217" t="s">
        <v>213</v>
      </c>
      <c r="C7" s="214" t="s">
        <v>217</v>
      </c>
      <c r="D7" s="213" t="s">
        <v>218</v>
      </c>
      <c r="E7" s="201" t="s">
        <v>216</v>
      </c>
      <c r="F7" s="201" t="s">
        <v>215</v>
      </c>
      <c r="G7" s="211" t="s">
        <v>214</v>
      </c>
      <c r="H7" s="202" t="s">
        <v>210</v>
      </c>
      <c r="I7" s="212">
        <v>40</v>
      </c>
      <c r="J7" s="208" t="str">
        <f>IF(I7&lt;=0,"",IF(I7&lt;=2,"Muy Baja",IF(I7&lt;=24,"Baja",IF(I7&lt;=500,"Media",IF(I7&lt;=5000,"Alta","Muy Alta")))))</f>
        <v>Media</v>
      </c>
      <c r="K7" s="207">
        <f>IF(J7="","",IF(J7="Muy Baja",0.2,IF(J7="Baja",0.4,IF(J7="Media",0.6,IF(J7="Alta",0.8,IF(J7="Muy Alta",1,))))))</f>
        <v>0.6</v>
      </c>
      <c r="L7" s="206" t="s">
        <v>139</v>
      </c>
      <c r="M7" s="207" t="s">
        <v>219</v>
      </c>
      <c r="N7" s="208" t="s">
        <v>220</v>
      </c>
      <c r="O7" s="207"/>
      <c r="P7" s="209" t="s">
        <v>77</v>
      </c>
      <c r="Q7" s="115">
        <v>1</v>
      </c>
      <c r="R7" s="116" t="s">
        <v>221</v>
      </c>
      <c r="S7" s="117" t="str">
        <f>IF(OR(T7="Preventivo",T7="Detectivo"),"Probabilidad",IF(T7="Correctivo","Impacto",""))</f>
        <v>Probabilidad</v>
      </c>
      <c r="T7" s="118" t="s">
        <v>13</v>
      </c>
      <c r="U7" s="118" t="s">
        <v>9</v>
      </c>
      <c r="V7" s="119" t="str">
        <f>IF(AND(T7="Preventivo",U7="Automático"),"50%",IF(AND(T7="Preventivo",U7="Manual"),"40%",IF(AND(T7="Detectivo",U7="Automático"),"40%",IF(AND(T7="Detectivo",U7="Manual"),"30%",IF(AND(T7="Correctivo",U7="Automático"),"35%",IF(AND(T7="Correctivo",U7="Manual"),"25%",""))))))</f>
        <v>50%</v>
      </c>
      <c r="W7" s="118" t="s">
        <v>18</v>
      </c>
      <c r="X7" s="118" t="s">
        <v>21</v>
      </c>
      <c r="Y7" s="118" t="s">
        <v>115</v>
      </c>
      <c r="Z7" s="120">
        <f>IFERROR(IF(S7="Probabilidad",(K7-(+K7*V7)),IF(S7="Impacto",K7,"")),"")</f>
        <v>0.3</v>
      </c>
      <c r="AA7" s="121" t="str">
        <f>IFERROR(IF(Z7="","",IF(Z7&lt;=0.2,"Muy Baja",IF(Z7&lt;=0.4,"Baja",IF(Z7&lt;=0.6,"Media",IF(Z7&lt;=0.8,"Alta","Muy Alta"))))),"")</f>
        <v>Baja</v>
      </c>
      <c r="AB7" s="119">
        <f>+Z7</f>
        <v>0.3</v>
      </c>
      <c r="AC7" s="121" t="str">
        <f>IFERROR(IF(AD7="","",IF(AD7&lt;=0.2,"Leve",IF(AD7&lt;=0.4,"Menor",IF(AD7&lt;=0.6,"Moderado",IF(AD7&lt;=0.8,"Mayor","Catastrófico"))))),"")</f>
        <v>Leve</v>
      </c>
      <c r="AD7" s="119">
        <f>IFERROR(IF(S7="Impacto",(O7-(+O7*V7)),IF(S7="Probabilidad",O7,"")),"")</f>
        <v>0</v>
      </c>
      <c r="AE7" s="122" t="str">
        <f>IFERROR(IF(OR(AND(AA7="Muy Baja",AC7="Leve"),AND(AA7="Muy Baja",AC7="Menor"),AND(AA7="Baja",AC7="Leve")),"Bajo",IF(OR(AND(AA7="Muy baja",AC7="Moderado"),AND(AA7="Baja",AC7="Menor"),AND(AA7="Baja",AC7="Moderado"),AND(AA7="Media",AC7="Leve"),AND(AA7="Media",AC7="Menor"),AND(AA7="Media",AC7="Moderado"),AND(AA7="Alta",AC7="Leve"),AND(AA7="Alta",AC7="Menor")),"Moderado",IF(OR(AND(AA7="Muy Baja",AC7="Mayor"),AND(AA7="Baja",AC7="Mayor"),AND(AA7="Media",AC7="Mayor"),AND(AA7="Alta",AC7="Moderado"),AND(AA7="Alta",AC7="Mayor"),AND(AA7="Muy Alta",AC7="Leve"),AND(AA7="Muy Alta",AC7="Menor"),AND(AA7="Muy Alta",AC7="Moderado"),AND(AA7="Muy Alta",AC7="Mayor")),"Alto",IF(OR(AND(AA7="Muy Baja",AC7="Catastrófico"),AND(AA7="Baja",AC7="Catastrófico"),AND(AA7="Media",AC7="Catastrófico"),AND(AA7="Alta",AC7="Catastrófico"),AND(AA7="Muy Alta",AC7="Catastrófico")),"Extremo","")))),"")</f>
        <v>Bajo</v>
      </c>
      <c r="AF7" s="118" t="s">
        <v>130</v>
      </c>
      <c r="AG7" s="383" t="s">
        <v>225</v>
      </c>
      <c r="AH7" s="151" t="s">
        <v>230</v>
      </c>
      <c r="AI7" s="125">
        <v>44423</v>
      </c>
      <c r="AJ7" s="125" t="s">
        <v>227</v>
      </c>
      <c r="AK7" s="123" t="s">
        <v>240</v>
      </c>
      <c r="AL7" s="124" t="s">
        <v>39</v>
      </c>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row>
    <row r="8" spans="1:70" ht="148.5" x14ac:dyDescent="0.3">
      <c r="A8" s="210"/>
      <c r="B8" s="218"/>
      <c r="C8" s="215"/>
      <c r="D8" s="213"/>
      <c r="E8" s="201"/>
      <c r="F8" s="201"/>
      <c r="G8" s="211"/>
      <c r="H8" s="203"/>
      <c r="I8" s="212"/>
      <c r="J8" s="208"/>
      <c r="K8" s="207"/>
      <c r="L8" s="206"/>
      <c r="M8" s="207"/>
      <c r="N8" s="208"/>
      <c r="O8" s="207"/>
      <c r="P8" s="209"/>
      <c r="Q8" s="115">
        <v>2</v>
      </c>
      <c r="R8" s="116" t="s">
        <v>222</v>
      </c>
      <c r="S8" s="117" t="str">
        <f>IF(OR(T8="Preventivo",T8="Detectivo"),"Probabilidad",IF(T8="Correctivo","Impacto",""))</f>
        <v>Probabilidad</v>
      </c>
      <c r="T8" s="118" t="s">
        <v>14</v>
      </c>
      <c r="U8" s="118" t="s">
        <v>9</v>
      </c>
      <c r="V8" s="119"/>
      <c r="W8" s="118" t="s">
        <v>18</v>
      </c>
      <c r="X8" s="118" t="s">
        <v>21</v>
      </c>
      <c r="Y8" s="118" t="s">
        <v>115</v>
      </c>
      <c r="Z8" s="120">
        <f>IFERROR(IF(AND(S7="Probabilidad",S8="Probabilidad"),(AB7-(+AB7*V8)),IF(S8="Probabilidad",(K7-(+K7*V8)),IF(S8="Impacto",AB7,""))),"")</f>
        <v>0.3</v>
      </c>
      <c r="AA8" s="121" t="str">
        <f t="shared" ref="AA8:AA66" si="0">IFERROR(IF(Z8="","",IF(Z8&lt;=0.2,"Muy Baja",IF(Z8&lt;=0.4,"Baja",IF(Z8&lt;=0.6,"Media",IF(Z8&lt;=0.8,"Alta","Muy Alta"))))),"")</f>
        <v>Baja</v>
      </c>
      <c r="AB8" s="119">
        <f t="shared" ref="AB8:AB12" si="1">+Z8</f>
        <v>0.3</v>
      </c>
      <c r="AC8" s="121" t="str">
        <f t="shared" ref="AC8:AC66" si="2">IFERROR(IF(AD8="","",IF(AD8&lt;=0.2,"Leve",IF(AD8&lt;=0.4,"Menor",IF(AD8&lt;=0.6,"Moderado",IF(AD8&lt;=0.8,"Mayor","Catastrófico"))))),"")</f>
        <v>Leve</v>
      </c>
      <c r="AD8" s="119">
        <f>IFERROR(IF(AND(S7="Impacto",S8="Impacto"),(AD7-(+AD7*V8)),IF(S8="Impacto",($O$7-(+$O$7*V8)),IF(S8="Probabilidad",AD7,""))),"")</f>
        <v>0</v>
      </c>
      <c r="AE8" s="122" t="str">
        <f t="shared" ref="AE8:AE12" si="3">IFERROR(IF(OR(AND(AA8="Muy Baja",AC8="Leve"),AND(AA8="Muy Baja",AC8="Menor"),AND(AA8="Baja",AC8="Leve")),"Bajo",IF(OR(AND(AA8="Muy baja",AC8="Moderado"),AND(AA8="Baja",AC8="Menor"),AND(AA8="Baja",AC8="Moderado"),AND(AA8="Media",AC8="Leve"),AND(AA8="Media",AC8="Menor"),AND(AA8="Media",AC8="Moderado"),AND(AA8="Alta",AC8="Leve"),AND(AA8="Alta",AC8="Menor")),"Moderado",IF(OR(AND(AA8="Muy Baja",AC8="Mayor"),AND(AA8="Baja",AC8="Mayor"),AND(AA8="Media",AC8="Mayor"),AND(AA8="Alta",AC8="Moderado"),AND(AA8="Alta",AC8="Mayor"),AND(AA8="Muy Alta",AC8="Leve"),AND(AA8="Muy Alta",AC8="Menor"),AND(AA8="Muy Alta",AC8="Moderado"),AND(AA8="Muy Alta",AC8="Mayor")),"Alto",IF(OR(AND(AA8="Muy Baja",AC8="Catastrófico"),AND(AA8="Baja",AC8="Catastrófico"),AND(AA8="Media",AC8="Catastrófico"),AND(AA8="Alta",AC8="Catastrófico"),AND(AA8="Muy Alta",AC8="Catastrófico")),"Extremo","")))),"")</f>
        <v>Bajo</v>
      </c>
      <c r="AF8" s="118" t="s">
        <v>130</v>
      </c>
      <c r="AG8" s="383" t="s">
        <v>228</v>
      </c>
      <c r="AH8" s="151" t="s">
        <v>229</v>
      </c>
      <c r="AI8" s="125">
        <v>44423</v>
      </c>
      <c r="AJ8" s="125" t="s">
        <v>227</v>
      </c>
      <c r="AK8" s="153" t="s">
        <v>241</v>
      </c>
      <c r="AL8" s="124" t="s">
        <v>39</v>
      </c>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row>
    <row r="9" spans="1:70" ht="99" x14ac:dyDescent="0.3">
      <c r="A9" s="210"/>
      <c r="B9" s="218"/>
      <c r="C9" s="215"/>
      <c r="D9" s="213"/>
      <c r="E9" s="201"/>
      <c r="F9" s="201"/>
      <c r="G9" s="211"/>
      <c r="H9" s="203"/>
      <c r="I9" s="212"/>
      <c r="J9" s="208"/>
      <c r="K9" s="207"/>
      <c r="L9" s="206"/>
      <c r="M9" s="207"/>
      <c r="N9" s="208"/>
      <c r="O9" s="207"/>
      <c r="P9" s="209"/>
      <c r="Q9" s="115">
        <v>3</v>
      </c>
      <c r="R9" s="128" t="s">
        <v>223</v>
      </c>
      <c r="S9" s="117" t="str">
        <f t="shared" ref="S9:S11" si="4">IF(OR(T9="Preventivo",T9="Detectivo"),"Probabilidad",IF(T9="Correctivo","Impacto",""))</f>
        <v>Impacto</v>
      </c>
      <c r="T9" s="118" t="s">
        <v>15</v>
      </c>
      <c r="U9" s="118" t="s">
        <v>8</v>
      </c>
      <c r="V9" s="119" t="str">
        <f t="shared" ref="V9:V12" si="5">IF(AND(T9="Preventivo",U9="Automático"),"50%",IF(AND(T9="Preventivo",U9="Manual"),"40%",IF(AND(T9="Detectivo",U9="Automático"),"40%",IF(AND(T9="Detectivo",U9="Manual"),"30%",IF(AND(T9="Correctivo",U9="Automático"),"35%",IF(AND(T9="Correctivo",U9="Manual"),"25%",""))))))</f>
        <v>25%</v>
      </c>
      <c r="W9" s="118" t="s">
        <v>18</v>
      </c>
      <c r="X9" s="118" t="s">
        <v>21</v>
      </c>
      <c r="Y9" s="118" t="s">
        <v>115</v>
      </c>
      <c r="Z9" s="120">
        <f>IFERROR(IF(AND(S8="Probabilidad",S9="Probabilidad"),(AB8-(+AB8*V9)),IF(AND(S8="Impacto",S9="Probabilidad"),(AB7-(+AB7*V9)),IF(S9="Impacto",AB8,""))),"")</f>
        <v>0.3</v>
      </c>
      <c r="AA9" s="121" t="str">
        <f t="shared" si="0"/>
        <v>Baja</v>
      </c>
      <c r="AB9" s="119">
        <f t="shared" si="1"/>
        <v>0.3</v>
      </c>
      <c r="AC9" s="121" t="str">
        <f t="shared" si="2"/>
        <v>Leve</v>
      </c>
      <c r="AD9" s="119">
        <f>IFERROR(IF(AND(S8="Impacto",S9="Impacto"),(AD8-(+AD8*V9)),IF(AND(S8="Probabilidad",S9="Impacto"),(AD7-(+AD7*V9)),IF(S9="Probabilidad",AD8,""))),"")</f>
        <v>0</v>
      </c>
      <c r="AE9" s="122" t="str">
        <f t="shared" si="3"/>
        <v>Bajo</v>
      </c>
      <c r="AF9" s="118" t="s">
        <v>130</v>
      </c>
      <c r="AG9" s="153" t="s">
        <v>231</v>
      </c>
      <c r="AH9" s="151" t="s">
        <v>226</v>
      </c>
      <c r="AI9" s="125">
        <v>44423</v>
      </c>
      <c r="AJ9" s="125" t="s">
        <v>227</v>
      </c>
      <c r="AK9" s="153" t="s">
        <v>242</v>
      </c>
      <c r="AL9" s="152" t="s">
        <v>39</v>
      </c>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row>
    <row r="10" spans="1:70" ht="87.75" x14ac:dyDescent="0.3">
      <c r="A10" s="210"/>
      <c r="B10" s="218"/>
      <c r="C10" s="215"/>
      <c r="D10" s="213"/>
      <c r="E10" s="201"/>
      <c r="F10" s="201"/>
      <c r="G10" s="211"/>
      <c r="H10" s="203"/>
      <c r="I10" s="212"/>
      <c r="J10" s="208"/>
      <c r="K10" s="207"/>
      <c r="L10" s="206"/>
      <c r="M10" s="207"/>
      <c r="N10" s="208"/>
      <c r="O10" s="207"/>
      <c r="P10" s="209"/>
      <c r="Q10" s="115">
        <v>4</v>
      </c>
      <c r="R10" s="116" t="s">
        <v>224</v>
      </c>
      <c r="S10" s="117" t="str">
        <f t="shared" si="4"/>
        <v>Impacto</v>
      </c>
      <c r="T10" s="118" t="s">
        <v>15</v>
      </c>
      <c r="U10" s="118" t="s">
        <v>8</v>
      </c>
      <c r="V10" s="119" t="str">
        <f t="shared" si="5"/>
        <v>25%</v>
      </c>
      <c r="W10" s="118" t="s">
        <v>18</v>
      </c>
      <c r="X10" s="118" t="s">
        <v>21</v>
      </c>
      <c r="Y10" s="118" t="s">
        <v>115</v>
      </c>
      <c r="Z10" s="120">
        <f t="shared" ref="Z10:Z12" si="6">IFERROR(IF(AND(S9="Probabilidad",S10="Probabilidad"),(AB9-(+AB9*V10)),IF(AND(S9="Impacto",S10="Probabilidad"),(AB8-(+AB8*V10)),IF(S10="Impacto",AB9,""))),"")</f>
        <v>0.3</v>
      </c>
      <c r="AA10" s="121" t="str">
        <f t="shared" si="0"/>
        <v>Baja</v>
      </c>
      <c r="AB10" s="119">
        <f t="shared" si="1"/>
        <v>0.3</v>
      </c>
      <c r="AC10" s="121" t="str">
        <f t="shared" si="2"/>
        <v>Leve</v>
      </c>
      <c r="AD10" s="119">
        <f t="shared" ref="AD10:AD12" si="7">IFERROR(IF(AND(S9="Impacto",S10="Impacto"),(AD9-(+AD9*V10)),IF(AND(S9="Probabilidad",S10="Impacto"),(AD8-(+AD8*V10)),IF(S10="Probabilidad",AD9,""))),"")</f>
        <v>0</v>
      </c>
      <c r="AE10" s="122" t="str">
        <f>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Bajo</v>
      </c>
      <c r="AF10" s="118" t="s">
        <v>131</v>
      </c>
      <c r="AG10" s="123"/>
      <c r="AH10" s="124"/>
      <c r="AI10" s="125"/>
      <c r="AJ10" s="125"/>
      <c r="AK10" s="123"/>
      <c r="AL10" s="124"/>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row>
    <row r="11" spans="1:70" x14ac:dyDescent="0.3">
      <c r="A11" s="210"/>
      <c r="B11" s="218"/>
      <c r="C11" s="215"/>
      <c r="D11" s="213"/>
      <c r="E11" s="201"/>
      <c r="F11" s="201"/>
      <c r="G11" s="211"/>
      <c r="H11" s="203"/>
      <c r="I11" s="212"/>
      <c r="J11" s="208"/>
      <c r="K11" s="207"/>
      <c r="L11" s="206"/>
      <c r="M11" s="207"/>
      <c r="N11" s="208"/>
      <c r="O11" s="207"/>
      <c r="P11" s="209"/>
      <c r="Q11" s="115">
        <v>5</v>
      </c>
      <c r="R11" s="116"/>
      <c r="S11" s="117" t="str">
        <f t="shared" si="4"/>
        <v/>
      </c>
      <c r="T11" s="118"/>
      <c r="U11" s="118"/>
      <c r="V11" s="119" t="str">
        <f t="shared" si="5"/>
        <v/>
      </c>
      <c r="W11" s="118"/>
      <c r="X11" s="118"/>
      <c r="Y11" s="118"/>
      <c r="Z11" s="120" t="str">
        <f t="shared" si="6"/>
        <v/>
      </c>
      <c r="AA11" s="121" t="str">
        <f t="shared" si="0"/>
        <v/>
      </c>
      <c r="AB11" s="119" t="str">
        <f t="shared" si="1"/>
        <v/>
      </c>
      <c r="AC11" s="121" t="str">
        <f t="shared" si="2"/>
        <v/>
      </c>
      <c r="AD11" s="119" t="str">
        <f t="shared" si="7"/>
        <v/>
      </c>
      <c r="AE11" s="122" t="str">
        <f t="shared" si="3"/>
        <v/>
      </c>
      <c r="AF11" s="118"/>
      <c r="AG11" s="123"/>
      <c r="AH11" s="124"/>
      <c r="AI11" s="125"/>
      <c r="AJ11" s="125"/>
      <c r="AK11" s="123"/>
      <c r="AL11" s="124"/>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row>
    <row r="12" spans="1:70" ht="73.5" customHeight="1" x14ac:dyDescent="0.3">
      <c r="A12" s="210"/>
      <c r="B12" s="219"/>
      <c r="C12" s="216"/>
      <c r="D12" s="213"/>
      <c r="E12" s="201"/>
      <c r="F12" s="201"/>
      <c r="G12" s="211"/>
      <c r="H12" s="204"/>
      <c r="I12" s="212"/>
      <c r="J12" s="208"/>
      <c r="K12" s="207"/>
      <c r="L12" s="206"/>
      <c r="M12" s="207"/>
      <c r="N12" s="208"/>
      <c r="O12" s="207"/>
      <c r="P12" s="209"/>
      <c r="Q12" s="115">
        <v>6</v>
      </c>
      <c r="R12" s="116"/>
      <c r="S12" s="117" t="str">
        <f t="shared" ref="S12" si="8">IF(OR(T12="Preventivo",T12="Detectivo"),"Probabilidad",IF(T12="Correctivo","Impacto",""))</f>
        <v/>
      </c>
      <c r="T12" s="118"/>
      <c r="U12" s="118"/>
      <c r="V12" s="119" t="str">
        <f t="shared" si="5"/>
        <v/>
      </c>
      <c r="W12" s="118"/>
      <c r="X12" s="118"/>
      <c r="Y12" s="118"/>
      <c r="Z12" s="120" t="str">
        <f t="shared" si="6"/>
        <v/>
      </c>
      <c r="AA12" s="121" t="str">
        <f t="shared" si="0"/>
        <v/>
      </c>
      <c r="AB12" s="119" t="str">
        <f t="shared" si="1"/>
        <v/>
      </c>
      <c r="AC12" s="121" t="str">
        <f t="shared" si="2"/>
        <v/>
      </c>
      <c r="AD12" s="119" t="str">
        <f t="shared" si="7"/>
        <v/>
      </c>
      <c r="AE12" s="122" t="str">
        <f t="shared" si="3"/>
        <v/>
      </c>
      <c r="AF12" s="118"/>
      <c r="AG12" s="123"/>
      <c r="AH12" s="124"/>
      <c r="AI12" s="125"/>
      <c r="AJ12" s="125"/>
      <c r="AK12" s="123"/>
      <c r="AL12" s="124"/>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row>
    <row r="13" spans="1:70" ht="165" x14ac:dyDescent="0.3">
      <c r="A13" s="210">
        <v>2</v>
      </c>
      <c r="B13" s="217" t="s">
        <v>213</v>
      </c>
      <c r="C13" s="214" t="s">
        <v>234</v>
      </c>
      <c r="D13" s="211" t="s">
        <v>235</v>
      </c>
      <c r="E13" s="201" t="s">
        <v>232</v>
      </c>
      <c r="F13" s="201" t="s">
        <v>233</v>
      </c>
      <c r="G13" s="211" t="s">
        <v>211</v>
      </c>
      <c r="H13" s="202" t="s">
        <v>210</v>
      </c>
      <c r="I13" s="212">
        <v>20</v>
      </c>
      <c r="J13" s="208" t="str">
        <f>IF(I13&lt;=0,"",IF(I13&lt;=2,"Muy Baja",IF(I13&lt;=24,"Baja",IF(I13&lt;=500,"Media",IF(I13&lt;=5000,"Alta","Muy Alta")))))</f>
        <v>Baja</v>
      </c>
      <c r="K13" s="207">
        <f>IF(J13="","",IF(J13="Muy Baja",0.2,IF(J13="Baja",0.4,IF(J13="Media",0.6,IF(J13="Alta",0.8,IF(J13="Muy Alta",1,))))))</f>
        <v>0.4</v>
      </c>
      <c r="L13" s="206" t="s">
        <v>139</v>
      </c>
      <c r="M13" s="207" t="str">
        <f ca="1">IF(NOT(ISERROR(MATCH(L13,'Tabla Impacto'!$B$221:$B$223,0))),'Tabla Impacto'!$F$223&amp;"Por favor no seleccionar los criterios de impacto(Afectación Económica o presupuestal y Pérdida Reputacional)",L13)</f>
        <v xml:space="preserve">     Afectación menor a 10 SMLMV .</v>
      </c>
      <c r="N13" s="208" t="str">
        <f ca="1">IF(OR(M13='Tabla Impacto'!$C$11,M13='Tabla Impacto'!$D$11),"Leve",IF(OR(M13='Tabla Impacto'!$C$12,M13='Tabla Impacto'!$D$12),"Menor",IF(OR(M13='Tabla Impacto'!$C$13,M13='Tabla Impacto'!$D$13),"Moderado",IF(OR(M13='Tabla Impacto'!$C$14,M13='Tabla Impacto'!$D$14),"Mayor",IF(OR(M13='Tabla Impacto'!$C$15,M13='Tabla Impacto'!$D$15),"Catastrófico","")))))</f>
        <v>Leve</v>
      </c>
      <c r="O13" s="207">
        <f ca="1">IF(N13="","",IF(N13="Leve",0.2,IF(N13="Menor",0.4,IF(N13="Moderado",0.6,IF(N13="Mayor",0.8,IF(N13="Catastrófico",1,))))))</f>
        <v>0.2</v>
      </c>
      <c r="P13" s="209" t="str">
        <f ca="1">IF(OR(AND(J13="Muy Baja",N13="Leve"),AND(J13="Muy Baja",N13="Menor"),AND(J13="Baja",N13="Leve")),"Bajo",IF(OR(AND(J13="Muy baja",N13="Moderado"),AND(J13="Baja",N13="Menor"),AND(J13="Baja",N13="Moderado"),AND(J13="Media",N13="Leve"),AND(J13="Media",N13="Menor"),AND(J13="Media",N13="Moderado"),AND(J13="Alta",N13="Leve"),AND(J13="Alta",N13="Menor")),"Moderado",IF(OR(AND(J13="Muy Baja",N13="Mayor"),AND(J13="Baja",N13="Mayor"),AND(J13="Media",N13="Mayor"),AND(J13="Alta",N13="Moderado"),AND(J13="Alta",N13="Mayor"),AND(J13="Muy Alta",N13="Leve"),AND(J13="Muy Alta",N13="Menor"),AND(J13="Muy Alta",N13="Moderado"),AND(J13="Muy Alta",N13="Mayor")),"Alto",IF(OR(AND(J13="Muy Baja",N13="Catastrófico"),AND(J13="Baja",N13="Catastrófico"),AND(J13="Media",N13="Catastrófico"),AND(J13="Alta",N13="Catastrófico"),AND(J13="Muy Alta",N13="Catastrófico")),"Extremo",""))))</f>
        <v>Bajo</v>
      </c>
      <c r="Q13" s="115">
        <v>1</v>
      </c>
      <c r="R13" s="116" t="s">
        <v>236</v>
      </c>
      <c r="S13" s="117" t="str">
        <f>IF(OR(T13="Preventivo",T13="Detectivo"),"Probabilidad",IF(T13="Correctivo","Impacto",""))</f>
        <v>Probabilidad</v>
      </c>
      <c r="T13" s="118" t="s">
        <v>13</v>
      </c>
      <c r="U13" s="118" t="s">
        <v>9</v>
      </c>
      <c r="V13" s="119" t="str">
        <f>IF(AND(T13="Preventivo",U13="Automático"),"50%",IF(AND(T13="Preventivo",U13="Manual"),"40%",IF(AND(T13="Detectivo",U13="Automático"),"40%",IF(AND(T13="Detectivo",U13="Manual"),"30%",IF(AND(T13="Correctivo",U13="Automático"),"35%",IF(AND(T13="Correctivo",U13="Manual"),"25%",""))))))</f>
        <v>50%</v>
      </c>
      <c r="W13" s="118" t="s">
        <v>18</v>
      </c>
      <c r="X13" s="118" t="s">
        <v>21</v>
      </c>
      <c r="Y13" s="118" t="s">
        <v>115</v>
      </c>
      <c r="Z13" s="120">
        <f>IFERROR(IF(S13="Probabilidad",(K13-(+K13*V13)),IF(S13="Impacto",K13,"")),"")</f>
        <v>0.2</v>
      </c>
      <c r="AA13" s="121" t="str">
        <f>IFERROR(IF(Z13="","",IF(Z13&lt;=0.2,"Muy Baja",IF(Z13&lt;=0.4,"Baja",IF(Z13&lt;=0.6,"Media",IF(Z13&lt;=0.8,"Alta","Muy Alta"))))),"")</f>
        <v>Muy Baja</v>
      </c>
      <c r="AB13" s="119">
        <f>+Z13</f>
        <v>0.2</v>
      </c>
      <c r="AC13" s="121" t="str">
        <f ca="1">IFERROR(IF(AD13="","",IF(AD13&lt;=0.2,"Leve",IF(AD13&lt;=0.4,"Menor",IF(AD13&lt;=0.6,"Moderado",IF(AD13&lt;=0.8,"Mayor","Catastrófico"))))),"")</f>
        <v>Leve</v>
      </c>
      <c r="AD13" s="119">
        <f ca="1">IFERROR(IF(S13="Impacto",(O13-(+O13*V13)),IF(S13="Probabilidad",O13,"")),"")</f>
        <v>0.2</v>
      </c>
      <c r="AE13" s="122" t="str">
        <f ca="1">IFERROR(IF(OR(AND(AA13="Muy Baja",AC13="Leve"),AND(AA13="Muy Baja",AC13="Menor"),AND(AA13="Baja",AC13="Leve")),"Bajo",IF(OR(AND(AA13="Muy baja",AC13="Moderado"),AND(AA13="Baja",AC13="Menor"),AND(AA13="Baja",AC13="Moderado"),AND(AA13="Media",AC13="Leve"),AND(AA13="Media",AC13="Menor"),AND(AA13="Media",AC13="Moderado"),AND(AA13="Alta",AC13="Leve"),AND(AA13="Alta",AC13="Menor")),"Moderado",IF(OR(AND(AA13="Muy Baja",AC13="Mayor"),AND(AA13="Baja",AC13="Mayor"),AND(AA13="Media",AC13="Mayor"),AND(AA13="Alta",AC13="Moderado"),AND(AA13="Alta",AC13="Mayor"),AND(AA13="Muy Alta",AC13="Leve"),AND(AA13="Muy Alta",AC13="Menor"),AND(AA13="Muy Alta",AC13="Moderado"),AND(AA13="Muy Alta",AC13="Mayor")),"Alto",IF(OR(AND(AA13="Muy Baja",AC13="Catastrófico"),AND(AA13="Baja",AC13="Catastrófico"),AND(AA13="Media",AC13="Catastrófico"),AND(AA13="Alta",AC13="Catastrófico"),AND(AA13="Muy Alta",AC13="Catastrófico")),"Extremo","")))),"")</f>
        <v>Bajo</v>
      </c>
      <c r="AF13" s="118" t="s">
        <v>130</v>
      </c>
      <c r="AG13" s="123" t="s">
        <v>237</v>
      </c>
      <c r="AH13" s="151" t="s">
        <v>238</v>
      </c>
      <c r="AI13" s="125">
        <v>44423</v>
      </c>
      <c r="AJ13" s="125" t="s">
        <v>227</v>
      </c>
      <c r="AK13" s="153" t="s">
        <v>239</v>
      </c>
      <c r="AL13" s="124" t="s">
        <v>39</v>
      </c>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row>
    <row r="14" spans="1:70" ht="14.45" customHeight="1" x14ac:dyDescent="0.3">
      <c r="A14" s="210"/>
      <c r="B14" s="218"/>
      <c r="C14" s="215"/>
      <c r="D14" s="211"/>
      <c r="E14" s="201"/>
      <c r="F14" s="201"/>
      <c r="G14" s="211"/>
      <c r="H14" s="203"/>
      <c r="I14" s="212"/>
      <c r="J14" s="208"/>
      <c r="K14" s="207"/>
      <c r="L14" s="206"/>
      <c r="M14" s="207">
        <f ca="1">IF(NOT(ISERROR(MATCH(L14,_xlfn.ANCHORARRAY(E25),0))),K27&amp;"Por favor no seleccionar los criterios de impacto",L14)</f>
        <v>0</v>
      </c>
      <c r="N14" s="208"/>
      <c r="O14" s="207"/>
      <c r="P14" s="209"/>
      <c r="Q14" s="115">
        <v>2</v>
      </c>
      <c r="R14" s="116"/>
      <c r="S14" s="117" t="str">
        <f>IF(OR(T14="Preventivo",T14="Detectivo"),"Probabilidad",IF(T14="Correctivo","Impacto",""))</f>
        <v/>
      </c>
      <c r="T14" s="118"/>
      <c r="U14" s="118"/>
      <c r="V14" s="119" t="str">
        <f t="shared" ref="V14:V18" si="9">IF(AND(T14="Preventivo",U14="Automático"),"50%",IF(AND(T14="Preventivo",U14="Manual"),"40%",IF(AND(T14="Detectivo",U14="Automático"),"40%",IF(AND(T14="Detectivo",U14="Manual"),"30%",IF(AND(T14="Correctivo",U14="Automático"),"35%",IF(AND(T14="Correctivo",U14="Manual"),"25%",""))))))</f>
        <v/>
      </c>
      <c r="W14" s="118"/>
      <c r="X14" s="118"/>
      <c r="Y14" s="118"/>
      <c r="Z14" s="120" t="str">
        <f>IFERROR(IF(AND(S13="Probabilidad",S14="Probabilidad"),(AB13-(+AB13*V14)),IF(S14="Probabilidad",(K13-(+K13*V14)),IF(S14="Impacto",AB13,""))),"")</f>
        <v/>
      </c>
      <c r="AA14" s="121" t="str">
        <f t="shared" si="0"/>
        <v/>
      </c>
      <c r="AB14" s="119" t="str">
        <f t="shared" ref="AB14:AB18" si="10">+Z14</f>
        <v/>
      </c>
      <c r="AC14" s="121" t="str">
        <f t="shared" si="2"/>
        <v/>
      </c>
      <c r="AD14" s="119" t="str">
        <f>IFERROR(IF(AND(S13="Impacto",S14="Impacto"),(AD7-(+AD7*V14)),IF(S14="Impacto",($O$13-(+$O$13*V14)),IF(S14="Probabilidad",AD7,""))),"")</f>
        <v/>
      </c>
      <c r="AE14" s="122" t="str">
        <f t="shared" ref="AE14:AE15" si="11">IFERROR(IF(OR(AND(AA14="Muy Baja",AC14="Leve"),AND(AA14="Muy Baja",AC14="Menor"),AND(AA14="Baja",AC14="Leve")),"Bajo",IF(OR(AND(AA14="Muy baja",AC14="Moderado"),AND(AA14="Baja",AC14="Menor"),AND(AA14="Baja",AC14="Moderado"),AND(AA14="Media",AC14="Leve"),AND(AA14="Media",AC14="Menor"),AND(AA14="Media",AC14="Moderado"),AND(AA14="Alta",AC14="Leve"),AND(AA14="Alta",AC14="Menor")),"Moderado",IF(OR(AND(AA14="Muy Baja",AC14="Mayor"),AND(AA14="Baja",AC14="Mayor"),AND(AA14="Media",AC14="Mayor"),AND(AA14="Alta",AC14="Moderado"),AND(AA14="Alta",AC14="Mayor"),AND(AA14="Muy Alta",AC14="Leve"),AND(AA14="Muy Alta",AC14="Menor"),AND(AA14="Muy Alta",AC14="Moderado"),AND(AA14="Muy Alta",AC14="Mayor")),"Alto",IF(OR(AND(AA14="Muy Baja",AC14="Catastrófico"),AND(AA14="Baja",AC14="Catastrófico"),AND(AA14="Media",AC14="Catastrófico"),AND(AA14="Alta",AC14="Catastrófico"),AND(AA14="Muy Alta",AC14="Catastrófico")),"Extremo","")))),"")</f>
        <v/>
      </c>
      <c r="AF14" s="118"/>
      <c r="AG14" s="123"/>
      <c r="AH14" s="124"/>
      <c r="AI14" s="125"/>
      <c r="AJ14" s="125"/>
      <c r="AK14" s="123"/>
      <c r="AL14" s="124"/>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row>
    <row r="15" spans="1:70" ht="14.45" customHeight="1" x14ac:dyDescent="0.3">
      <c r="A15" s="210"/>
      <c r="B15" s="218"/>
      <c r="C15" s="215"/>
      <c r="D15" s="211"/>
      <c r="E15" s="201"/>
      <c r="F15" s="201"/>
      <c r="G15" s="211"/>
      <c r="H15" s="203"/>
      <c r="I15" s="212"/>
      <c r="J15" s="208"/>
      <c r="K15" s="207"/>
      <c r="L15" s="206"/>
      <c r="M15" s="207">
        <f ca="1">IF(NOT(ISERROR(MATCH(L15,_xlfn.ANCHORARRAY(E26),0))),K28&amp;"Por favor no seleccionar los criterios de impacto",L15)</f>
        <v>0</v>
      </c>
      <c r="N15" s="208"/>
      <c r="O15" s="207"/>
      <c r="P15" s="209"/>
      <c r="Q15" s="115">
        <v>3</v>
      </c>
      <c r="R15" s="128"/>
      <c r="S15" s="117" t="str">
        <f>IF(OR(T15="Preventivo",T15="Detectivo"),"Probabilidad",IF(T15="Correctivo","Impacto",""))</f>
        <v/>
      </c>
      <c r="T15" s="118"/>
      <c r="U15" s="118"/>
      <c r="V15" s="119" t="str">
        <f t="shared" si="9"/>
        <v/>
      </c>
      <c r="W15" s="118"/>
      <c r="X15" s="118"/>
      <c r="Y15" s="118"/>
      <c r="Z15" s="120" t="str">
        <f>IFERROR(IF(AND(S14="Probabilidad",S15="Probabilidad"),(AB14-(+AB14*V15)),IF(AND(S14="Impacto",S15="Probabilidad"),(AB13-(+AB13*V15)),IF(S15="Impacto",AB14,""))),"")</f>
        <v/>
      </c>
      <c r="AA15" s="121" t="str">
        <f t="shared" si="0"/>
        <v/>
      </c>
      <c r="AB15" s="119" t="str">
        <f t="shared" si="10"/>
        <v/>
      </c>
      <c r="AC15" s="121" t="str">
        <f t="shared" si="2"/>
        <v/>
      </c>
      <c r="AD15" s="119" t="str">
        <f>IFERROR(IF(AND(S14="Impacto",S15="Impacto"),(AD14-(+AD14*V15)),IF(AND(S14="Probabilidad",S15="Impacto"),(AD13-(+AD13*V15)),IF(S15="Probabilidad",AD14,""))),"")</f>
        <v/>
      </c>
      <c r="AE15" s="122" t="str">
        <f t="shared" si="11"/>
        <v/>
      </c>
      <c r="AF15" s="118"/>
      <c r="AG15" s="123"/>
      <c r="AH15" s="124"/>
      <c r="AI15" s="125"/>
      <c r="AJ15" s="125"/>
      <c r="AK15" s="123"/>
      <c r="AL15" s="124"/>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row>
    <row r="16" spans="1:70" ht="14.45" customHeight="1" x14ac:dyDescent="0.3">
      <c r="A16" s="210"/>
      <c r="B16" s="218"/>
      <c r="C16" s="215"/>
      <c r="D16" s="211"/>
      <c r="E16" s="201"/>
      <c r="F16" s="201"/>
      <c r="G16" s="211"/>
      <c r="H16" s="203"/>
      <c r="I16" s="212"/>
      <c r="J16" s="208"/>
      <c r="K16" s="207"/>
      <c r="L16" s="206"/>
      <c r="M16" s="207">
        <f ca="1">IF(NOT(ISERROR(MATCH(L16,_xlfn.ANCHORARRAY(E27),0))),K29&amp;"Por favor no seleccionar los criterios de impacto",L16)</f>
        <v>0</v>
      </c>
      <c r="N16" s="208"/>
      <c r="O16" s="207"/>
      <c r="P16" s="209"/>
      <c r="Q16" s="115">
        <v>4</v>
      </c>
      <c r="R16" s="116"/>
      <c r="S16" s="117" t="str">
        <f t="shared" ref="S16:S18" si="12">IF(OR(T16="Preventivo",T16="Detectivo"),"Probabilidad",IF(T16="Correctivo","Impacto",""))</f>
        <v/>
      </c>
      <c r="T16" s="118"/>
      <c r="U16" s="118"/>
      <c r="V16" s="119" t="str">
        <f t="shared" si="9"/>
        <v/>
      </c>
      <c r="W16" s="118"/>
      <c r="X16" s="118"/>
      <c r="Y16" s="118"/>
      <c r="Z16" s="120" t="str">
        <f t="shared" ref="Z16:Z18" si="13">IFERROR(IF(AND(S15="Probabilidad",S16="Probabilidad"),(AB15-(+AB15*V16)),IF(AND(S15="Impacto",S16="Probabilidad"),(AB14-(+AB14*V16)),IF(S16="Impacto",AB15,""))),"")</f>
        <v/>
      </c>
      <c r="AA16" s="121" t="str">
        <f t="shared" si="0"/>
        <v/>
      </c>
      <c r="AB16" s="119" t="str">
        <f t="shared" si="10"/>
        <v/>
      </c>
      <c r="AC16" s="121" t="str">
        <f t="shared" si="2"/>
        <v/>
      </c>
      <c r="AD16" s="119" t="str">
        <f t="shared" ref="AD16:AD18" si="14">IFERROR(IF(AND(S15="Impacto",S16="Impacto"),(AD15-(+AD15*V16)),IF(AND(S15="Probabilidad",S16="Impacto"),(AD14-(+AD14*V16)),IF(S16="Probabilidad",AD15,""))),"")</f>
        <v/>
      </c>
      <c r="AE16" s="122" t="str">
        <f>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
      </c>
      <c r="AF16" s="118"/>
      <c r="AG16" s="123"/>
      <c r="AH16" s="124"/>
      <c r="AI16" s="125"/>
      <c r="AJ16" s="125"/>
      <c r="AK16" s="123"/>
      <c r="AL16" s="124"/>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row>
    <row r="17" spans="1:70" ht="14.45" customHeight="1" x14ac:dyDescent="0.3">
      <c r="A17" s="210"/>
      <c r="B17" s="218"/>
      <c r="C17" s="215"/>
      <c r="D17" s="211"/>
      <c r="E17" s="201"/>
      <c r="F17" s="201"/>
      <c r="G17" s="211"/>
      <c r="H17" s="203"/>
      <c r="I17" s="212"/>
      <c r="J17" s="208"/>
      <c r="K17" s="207"/>
      <c r="L17" s="206"/>
      <c r="M17" s="207">
        <f ca="1">IF(NOT(ISERROR(MATCH(L17,_xlfn.ANCHORARRAY(E28),0))),K30&amp;"Por favor no seleccionar los criterios de impacto",L17)</f>
        <v>0</v>
      </c>
      <c r="N17" s="208"/>
      <c r="O17" s="207"/>
      <c r="P17" s="209"/>
      <c r="Q17" s="115">
        <v>5</v>
      </c>
      <c r="R17" s="116"/>
      <c r="S17" s="117" t="str">
        <f t="shared" si="12"/>
        <v/>
      </c>
      <c r="T17" s="118"/>
      <c r="U17" s="118"/>
      <c r="V17" s="119" t="str">
        <f t="shared" si="9"/>
        <v/>
      </c>
      <c r="W17" s="118"/>
      <c r="X17" s="118"/>
      <c r="Y17" s="118"/>
      <c r="Z17" s="120" t="str">
        <f t="shared" si="13"/>
        <v/>
      </c>
      <c r="AA17" s="121" t="str">
        <f t="shared" si="0"/>
        <v/>
      </c>
      <c r="AB17" s="119" t="str">
        <f t="shared" si="10"/>
        <v/>
      </c>
      <c r="AC17" s="121" t="str">
        <f t="shared" si="2"/>
        <v/>
      </c>
      <c r="AD17" s="119" t="str">
        <f t="shared" si="14"/>
        <v/>
      </c>
      <c r="AE17" s="122" t="str">
        <f t="shared" ref="AE17:AE18" si="15">IFERROR(IF(OR(AND(AA17="Muy Baja",AC17="Leve"),AND(AA17="Muy Baja",AC17="Menor"),AND(AA17="Baja",AC17="Leve")),"Bajo",IF(OR(AND(AA17="Muy baja",AC17="Moderado"),AND(AA17="Baja",AC17="Menor"),AND(AA17="Baja",AC17="Moderado"),AND(AA17="Media",AC17="Leve"),AND(AA17="Media",AC17="Menor"),AND(AA17="Media",AC17="Moderado"),AND(AA17="Alta",AC17="Leve"),AND(AA17="Alta",AC17="Menor")),"Moderado",IF(OR(AND(AA17="Muy Baja",AC17="Mayor"),AND(AA17="Baja",AC17="Mayor"),AND(AA17="Media",AC17="Mayor"),AND(AA17="Alta",AC17="Moderado"),AND(AA17="Alta",AC17="Mayor"),AND(AA17="Muy Alta",AC17="Leve"),AND(AA17="Muy Alta",AC17="Menor"),AND(AA17="Muy Alta",AC17="Moderado"),AND(AA17="Muy Alta",AC17="Mayor")),"Alto",IF(OR(AND(AA17="Muy Baja",AC17="Catastrófico"),AND(AA17="Baja",AC17="Catastrófico"),AND(AA17="Media",AC17="Catastrófico"),AND(AA17="Alta",AC17="Catastrófico"),AND(AA17="Muy Alta",AC17="Catastrófico")),"Extremo","")))),"")</f>
        <v/>
      </c>
      <c r="AF17" s="118"/>
      <c r="AG17" s="123"/>
      <c r="AH17" s="124"/>
      <c r="AI17" s="125"/>
      <c r="AJ17" s="125"/>
      <c r="AK17" s="123"/>
      <c r="AL17" s="124"/>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row>
    <row r="18" spans="1:70" ht="65.25" customHeight="1" x14ac:dyDescent="0.3">
      <c r="A18" s="210"/>
      <c r="B18" s="219"/>
      <c r="C18" s="216"/>
      <c r="D18" s="211"/>
      <c r="E18" s="201"/>
      <c r="F18" s="201"/>
      <c r="G18" s="211"/>
      <c r="H18" s="204"/>
      <c r="I18" s="212"/>
      <c r="J18" s="208"/>
      <c r="K18" s="207"/>
      <c r="L18" s="206"/>
      <c r="M18" s="207">
        <f ca="1">IF(NOT(ISERROR(MATCH(L18,_xlfn.ANCHORARRAY(E29),0))),K31&amp;"Por favor no seleccionar los criterios de impacto",L18)</f>
        <v>0</v>
      </c>
      <c r="N18" s="208"/>
      <c r="O18" s="207"/>
      <c r="P18" s="209"/>
      <c r="Q18" s="115">
        <v>6</v>
      </c>
      <c r="R18" s="116"/>
      <c r="S18" s="117" t="str">
        <f t="shared" si="12"/>
        <v/>
      </c>
      <c r="T18" s="118"/>
      <c r="U18" s="118"/>
      <c r="V18" s="119" t="str">
        <f t="shared" si="9"/>
        <v/>
      </c>
      <c r="W18" s="118"/>
      <c r="X18" s="118"/>
      <c r="Y18" s="118"/>
      <c r="Z18" s="120" t="str">
        <f t="shared" si="13"/>
        <v/>
      </c>
      <c r="AA18" s="121" t="str">
        <f t="shared" si="0"/>
        <v/>
      </c>
      <c r="AB18" s="119" t="str">
        <f t="shared" si="10"/>
        <v/>
      </c>
      <c r="AC18" s="121" t="str">
        <f t="shared" si="2"/>
        <v/>
      </c>
      <c r="AD18" s="119" t="str">
        <f t="shared" si="14"/>
        <v/>
      </c>
      <c r="AE18" s="122" t="str">
        <f t="shared" si="15"/>
        <v/>
      </c>
      <c r="AF18" s="118"/>
      <c r="AG18" s="123"/>
      <c r="AH18" s="124"/>
      <c r="AI18" s="125"/>
      <c r="AJ18" s="125"/>
      <c r="AK18" s="123"/>
      <c r="AL18" s="124"/>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row>
    <row r="19" spans="1:70" x14ac:dyDescent="0.3">
      <c r="A19" s="210">
        <v>3</v>
      </c>
      <c r="B19" s="225"/>
      <c r="C19" s="225"/>
      <c r="D19" s="211"/>
      <c r="E19" s="201"/>
      <c r="F19" s="228"/>
      <c r="G19" s="211"/>
      <c r="H19" s="202"/>
      <c r="I19" s="212"/>
      <c r="J19" s="208" t="str">
        <f>IF(I19&lt;=0,"",IF(I19&lt;=2,"Muy Baja",IF(I19&lt;=24,"Baja",IF(I19&lt;=500,"Media",IF(I19&lt;=5000,"Alta","Muy Alta")))))</f>
        <v/>
      </c>
      <c r="K19" s="207" t="str">
        <f>IF(J19="","",IF(J19="Muy Baja",0.2,IF(J19="Baja",0.4,IF(J19="Media",0.6,IF(J19="Alta",0.8,IF(J19="Muy Alta",1,))))))</f>
        <v/>
      </c>
      <c r="L19" s="206"/>
      <c r="M19" s="207">
        <f ca="1">IF(NOT(ISERROR(MATCH(L19,'Tabla Impacto'!$B$221:$B$223,0))),'Tabla Impacto'!$F$223&amp;"Por favor no seleccionar los criterios de impacto(Afectación Económica o presupuestal y Pérdida Reputacional)",L19)</f>
        <v>0</v>
      </c>
      <c r="N19" s="208" t="str">
        <f ca="1">IF(OR(M19='Tabla Impacto'!$C$11,M19='Tabla Impacto'!$D$11),"Leve",IF(OR(M19='Tabla Impacto'!$C$12,M19='Tabla Impacto'!$D$12),"Menor",IF(OR(M19='Tabla Impacto'!$C$13,M19='Tabla Impacto'!$D$13),"Moderado",IF(OR(M19='Tabla Impacto'!$C$14,M19='Tabla Impacto'!$D$14),"Mayor",IF(OR(M19='Tabla Impacto'!$C$15,M19='Tabla Impacto'!$D$15),"Catastrófico","")))))</f>
        <v/>
      </c>
      <c r="O19" s="207" t="str">
        <f ca="1">IF(N19="","",IF(N19="Leve",0.2,IF(N19="Menor",0.4,IF(N19="Moderado",0.6,IF(N19="Mayor",0.8,IF(N19="Catastrófico",1,))))))</f>
        <v/>
      </c>
      <c r="P19" s="209" t="str">
        <f ca="1">IF(OR(AND(J19="Muy Baja",N19="Leve"),AND(J19="Muy Baja",N19="Menor"),AND(J19="Baja",N19="Leve")),"Bajo",IF(OR(AND(J19="Muy baja",N19="Moderado"),AND(J19="Baja",N19="Menor"),AND(J19="Baja",N19="Moderado"),AND(J19="Media",N19="Leve"),AND(J19="Media",N19="Menor"),AND(J19="Media",N19="Moderado"),AND(J19="Alta",N19="Leve"),AND(J19="Alta",N19="Menor")),"Moderado",IF(OR(AND(J19="Muy Baja",N19="Mayor"),AND(J19="Baja",N19="Mayor"),AND(J19="Media",N19="Mayor"),AND(J19="Alta",N19="Moderado"),AND(J19="Alta",N19="Mayor"),AND(J19="Muy Alta",N19="Leve"),AND(J19="Muy Alta",N19="Menor"),AND(J19="Muy Alta",N19="Moderado"),AND(J19="Muy Alta",N19="Mayor")),"Alto",IF(OR(AND(J19="Muy Baja",N19="Catastrófico"),AND(J19="Baja",N19="Catastrófico"),AND(J19="Media",N19="Catastrófico"),AND(J19="Alta",N19="Catastrófico"),AND(J19="Muy Alta",N19="Catastrófico")),"Extremo",""))))</f>
        <v/>
      </c>
      <c r="Q19" s="115">
        <v>1</v>
      </c>
      <c r="R19" s="116"/>
      <c r="S19" s="117" t="str">
        <f>IF(OR(T19="Preventivo",T19="Detectivo"),"Probabilidad",IF(T19="Correctivo","Impacto",""))</f>
        <v/>
      </c>
      <c r="T19" s="118"/>
      <c r="U19" s="118"/>
      <c r="V19" s="119" t="str">
        <f>IF(AND(T19="Preventivo",U19="Automático"),"50%",IF(AND(T19="Preventivo",U19="Manual"),"40%",IF(AND(T19="Detectivo",U19="Automático"),"40%",IF(AND(T19="Detectivo",U19="Manual"),"30%",IF(AND(T19="Correctivo",U19="Automático"),"35%",IF(AND(T19="Correctivo",U19="Manual"),"25%",""))))))</f>
        <v/>
      </c>
      <c r="W19" s="118"/>
      <c r="X19" s="118"/>
      <c r="Y19" s="118"/>
      <c r="Z19" s="120" t="str">
        <f>IFERROR(IF(S19="Probabilidad",(K19-(+K19*V19)),IF(S19="Impacto",K19,"")),"")</f>
        <v/>
      </c>
      <c r="AA19" s="121" t="str">
        <f>IFERROR(IF(Z19="","",IF(Z19&lt;=0.2,"Muy Baja",IF(Z19&lt;=0.4,"Baja",IF(Z19&lt;=0.6,"Media",IF(Z19&lt;=0.8,"Alta","Muy Alta"))))),"")</f>
        <v/>
      </c>
      <c r="AB19" s="119" t="str">
        <f>+Z19</f>
        <v/>
      </c>
      <c r="AC19" s="121" t="str">
        <f>IFERROR(IF(AD19="","",IF(AD19&lt;=0.2,"Leve",IF(AD19&lt;=0.4,"Menor",IF(AD19&lt;=0.6,"Moderado",IF(AD19&lt;=0.8,"Mayor","Catastrófico"))))),"")</f>
        <v/>
      </c>
      <c r="AD19" s="119" t="str">
        <f>IFERROR(IF(S19="Impacto",(O19-(+O19*V19)),IF(S19="Probabilidad",O19,"")),"")</f>
        <v/>
      </c>
      <c r="AE19" s="122" t="str">
        <f>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
      </c>
      <c r="AF19" s="118"/>
      <c r="AG19" s="123"/>
      <c r="AH19" s="124"/>
      <c r="AI19" s="125"/>
      <c r="AJ19" s="125"/>
      <c r="AK19" s="123"/>
      <c r="AL19" s="124"/>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row>
    <row r="20" spans="1:70" ht="14.45" customHeight="1" x14ac:dyDescent="0.3">
      <c r="A20" s="210"/>
      <c r="B20" s="226"/>
      <c r="C20" s="226"/>
      <c r="D20" s="211"/>
      <c r="E20" s="201"/>
      <c r="F20" s="229"/>
      <c r="G20" s="211"/>
      <c r="H20" s="203"/>
      <c r="I20" s="212"/>
      <c r="J20" s="208"/>
      <c r="K20" s="207"/>
      <c r="L20" s="206"/>
      <c r="M20" s="207">
        <f t="shared" ref="M20:M24" ca="1" si="16">IF(NOT(ISERROR(MATCH(L20,_xlfn.ANCHORARRAY(E31),0))),K33&amp;"Por favor no seleccionar los criterios de impacto",L20)</f>
        <v>0</v>
      </c>
      <c r="N20" s="208"/>
      <c r="O20" s="207"/>
      <c r="P20" s="209"/>
      <c r="Q20" s="115">
        <v>2</v>
      </c>
      <c r="R20" s="116"/>
      <c r="S20" s="117" t="str">
        <f>IF(OR(T20="Preventivo",T20="Detectivo"),"Probabilidad",IF(T20="Correctivo","Impacto",""))</f>
        <v/>
      </c>
      <c r="T20" s="118"/>
      <c r="U20" s="118"/>
      <c r="V20" s="119" t="str">
        <f t="shared" ref="V20:V24" si="17">IF(AND(T20="Preventivo",U20="Automático"),"50%",IF(AND(T20="Preventivo",U20="Manual"),"40%",IF(AND(T20="Detectivo",U20="Automático"),"40%",IF(AND(T20="Detectivo",U20="Manual"),"30%",IF(AND(T20="Correctivo",U20="Automático"),"35%",IF(AND(T20="Correctivo",U20="Manual"),"25%",""))))))</f>
        <v/>
      </c>
      <c r="W20" s="118"/>
      <c r="X20" s="118"/>
      <c r="Y20" s="118"/>
      <c r="Z20" s="129" t="str">
        <f>IFERROR(IF(AND(S19="Probabilidad",S20="Probabilidad"),(AB19-(+AB19*V20)),IF(S20="Probabilidad",(K19-(+K19*V20)),IF(S20="Impacto",AB19,""))),"")</f>
        <v/>
      </c>
      <c r="AA20" s="121" t="str">
        <f t="shared" si="0"/>
        <v/>
      </c>
      <c r="AB20" s="119" t="str">
        <f t="shared" ref="AB20:AB24" si="18">+Z20</f>
        <v/>
      </c>
      <c r="AC20" s="121" t="str">
        <f t="shared" si="2"/>
        <v/>
      </c>
      <c r="AD20" s="119" t="str">
        <f>IFERROR(IF(AND(S19="Impacto",S20="Impacto"),(AD13-(+AD13*V20)),IF(S20="Impacto",($O$19-(+$O$19*V20)),IF(S20="Probabilidad",AD13,""))),"")</f>
        <v/>
      </c>
      <c r="AE20" s="122" t="str">
        <f t="shared" ref="AE20:AE21" si="19">IFERROR(IF(OR(AND(AA20="Muy Baja",AC20="Leve"),AND(AA20="Muy Baja",AC20="Menor"),AND(AA20="Baja",AC20="Leve")),"Bajo",IF(OR(AND(AA20="Muy baja",AC20="Moderado"),AND(AA20="Baja",AC20="Menor"),AND(AA20="Baja",AC20="Moderado"),AND(AA20="Media",AC20="Leve"),AND(AA20="Media",AC20="Menor"),AND(AA20="Media",AC20="Moderado"),AND(AA20="Alta",AC20="Leve"),AND(AA20="Alta",AC20="Menor")),"Moderado",IF(OR(AND(AA20="Muy Baja",AC20="Mayor"),AND(AA20="Baja",AC20="Mayor"),AND(AA20="Media",AC20="Mayor"),AND(AA20="Alta",AC20="Moderado"),AND(AA20="Alta",AC20="Mayor"),AND(AA20="Muy Alta",AC20="Leve"),AND(AA20="Muy Alta",AC20="Menor"),AND(AA20="Muy Alta",AC20="Moderado"),AND(AA20="Muy Alta",AC20="Mayor")),"Alto",IF(OR(AND(AA20="Muy Baja",AC20="Catastrófico"),AND(AA20="Baja",AC20="Catastrófico"),AND(AA20="Media",AC20="Catastrófico"),AND(AA20="Alta",AC20="Catastrófico"),AND(AA20="Muy Alta",AC20="Catastrófico")),"Extremo","")))),"")</f>
        <v/>
      </c>
      <c r="AF20" s="118"/>
      <c r="AG20" s="123"/>
      <c r="AH20" s="124"/>
      <c r="AI20" s="125"/>
      <c r="AJ20" s="125"/>
      <c r="AK20" s="123"/>
      <c r="AL20" s="124"/>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row>
    <row r="21" spans="1:70" ht="14.45" customHeight="1" x14ac:dyDescent="0.3">
      <c r="A21" s="210"/>
      <c r="B21" s="226"/>
      <c r="C21" s="226"/>
      <c r="D21" s="211"/>
      <c r="E21" s="201"/>
      <c r="F21" s="229"/>
      <c r="G21" s="211"/>
      <c r="H21" s="203"/>
      <c r="I21" s="212"/>
      <c r="J21" s="208"/>
      <c r="K21" s="207"/>
      <c r="L21" s="206"/>
      <c r="M21" s="207">
        <f t="shared" ca="1" si="16"/>
        <v>0</v>
      </c>
      <c r="N21" s="208"/>
      <c r="O21" s="207"/>
      <c r="P21" s="209"/>
      <c r="Q21" s="115">
        <v>3</v>
      </c>
      <c r="R21" s="128"/>
      <c r="S21" s="117" t="str">
        <f>IF(OR(T21="Preventivo",T21="Detectivo"),"Probabilidad",IF(T21="Correctivo","Impacto",""))</f>
        <v/>
      </c>
      <c r="T21" s="118"/>
      <c r="U21" s="118"/>
      <c r="V21" s="119" t="str">
        <f t="shared" si="17"/>
        <v/>
      </c>
      <c r="W21" s="118"/>
      <c r="X21" s="118"/>
      <c r="Y21" s="118"/>
      <c r="Z21" s="120" t="str">
        <f>IFERROR(IF(AND(S20="Probabilidad",S21="Probabilidad"),(AB20-(+AB20*V21)),IF(AND(S20="Impacto",S21="Probabilidad"),(AB19-(+AB19*V21)),IF(S21="Impacto",AB20,""))),"")</f>
        <v/>
      </c>
      <c r="AA21" s="121" t="str">
        <f t="shared" si="0"/>
        <v/>
      </c>
      <c r="AB21" s="119" t="str">
        <f t="shared" si="18"/>
        <v/>
      </c>
      <c r="AC21" s="121" t="str">
        <f t="shared" si="2"/>
        <v/>
      </c>
      <c r="AD21" s="119" t="str">
        <f>IFERROR(IF(AND(S20="Impacto",S21="Impacto"),(AD20-(+AD20*V21)),IF(AND(S20="Probabilidad",S21="Impacto"),(AD19-(+AD19*V21)),IF(S21="Probabilidad",AD20,""))),"")</f>
        <v/>
      </c>
      <c r="AE21" s="122" t="str">
        <f t="shared" si="19"/>
        <v/>
      </c>
      <c r="AF21" s="118"/>
      <c r="AG21" s="123"/>
      <c r="AH21" s="124"/>
      <c r="AI21" s="125"/>
      <c r="AJ21" s="125"/>
      <c r="AK21" s="123"/>
      <c r="AL21" s="124"/>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row>
    <row r="22" spans="1:70" ht="14.45" customHeight="1" x14ac:dyDescent="0.3">
      <c r="A22" s="210"/>
      <c r="B22" s="226"/>
      <c r="C22" s="226"/>
      <c r="D22" s="211"/>
      <c r="E22" s="201"/>
      <c r="F22" s="229"/>
      <c r="G22" s="211"/>
      <c r="H22" s="203"/>
      <c r="I22" s="212"/>
      <c r="J22" s="208"/>
      <c r="K22" s="207"/>
      <c r="L22" s="206"/>
      <c r="M22" s="207">
        <f t="shared" ca="1" si="16"/>
        <v>0</v>
      </c>
      <c r="N22" s="208"/>
      <c r="O22" s="207"/>
      <c r="P22" s="209"/>
      <c r="Q22" s="115">
        <v>4</v>
      </c>
      <c r="R22" s="116"/>
      <c r="S22" s="117" t="str">
        <f t="shared" ref="S22:S24" si="20">IF(OR(T22="Preventivo",T22="Detectivo"),"Probabilidad",IF(T22="Correctivo","Impacto",""))</f>
        <v/>
      </c>
      <c r="T22" s="118"/>
      <c r="U22" s="118"/>
      <c r="V22" s="119" t="str">
        <f t="shared" si="17"/>
        <v/>
      </c>
      <c r="W22" s="118"/>
      <c r="X22" s="118"/>
      <c r="Y22" s="118"/>
      <c r="Z22" s="120" t="str">
        <f t="shared" ref="Z22:Z24" si="21">IFERROR(IF(AND(S21="Probabilidad",S22="Probabilidad"),(AB21-(+AB21*V22)),IF(AND(S21="Impacto",S22="Probabilidad"),(AB20-(+AB20*V22)),IF(S22="Impacto",AB21,""))),"")</f>
        <v/>
      </c>
      <c r="AA22" s="121" t="str">
        <f t="shared" si="0"/>
        <v/>
      </c>
      <c r="AB22" s="119" t="str">
        <f t="shared" si="18"/>
        <v/>
      </c>
      <c r="AC22" s="121" t="str">
        <f t="shared" si="2"/>
        <v/>
      </c>
      <c r="AD22" s="119" t="str">
        <f t="shared" ref="AD22:AD24" si="22">IFERROR(IF(AND(S21="Impacto",S22="Impacto"),(AD21-(+AD21*V22)),IF(AND(S21="Probabilidad",S22="Impacto"),(AD20-(+AD20*V22)),IF(S22="Probabilidad",AD21,""))),"")</f>
        <v/>
      </c>
      <c r="AE22" s="122" t="str">
        <f>IFERROR(IF(OR(AND(AA22="Muy Baja",AC22="Leve"),AND(AA22="Muy Baja",AC22="Menor"),AND(AA22="Baja",AC22="Leve")),"Bajo",IF(OR(AND(AA22="Muy baja",AC22="Moderado"),AND(AA22="Baja",AC22="Menor"),AND(AA22="Baja",AC22="Moderado"),AND(AA22="Media",AC22="Leve"),AND(AA22="Media",AC22="Menor"),AND(AA22="Media",AC22="Moderado"),AND(AA22="Alta",AC22="Leve"),AND(AA22="Alta",AC22="Menor")),"Moderado",IF(OR(AND(AA22="Muy Baja",AC22="Mayor"),AND(AA22="Baja",AC22="Mayor"),AND(AA22="Media",AC22="Mayor"),AND(AA22="Alta",AC22="Moderado"),AND(AA22="Alta",AC22="Mayor"),AND(AA22="Muy Alta",AC22="Leve"),AND(AA22="Muy Alta",AC22="Menor"),AND(AA22="Muy Alta",AC22="Moderado"),AND(AA22="Muy Alta",AC22="Mayor")),"Alto",IF(OR(AND(AA22="Muy Baja",AC22="Catastrófico"),AND(AA22="Baja",AC22="Catastrófico"),AND(AA22="Media",AC22="Catastrófico"),AND(AA22="Alta",AC22="Catastrófico"),AND(AA22="Muy Alta",AC22="Catastrófico")),"Extremo","")))),"")</f>
        <v/>
      </c>
      <c r="AF22" s="118"/>
      <c r="AG22" s="123"/>
      <c r="AH22" s="124"/>
      <c r="AI22" s="125"/>
      <c r="AJ22" s="125"/>
      <c r="AK22" s="123"/>
      <c r="AL22" s="124"/>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row>
    <row r="23" spans="1:70" ht="14.45" customHeight="1" x14ac:dyDescent="0.3">
      <c r="A23" s="210"/>
      <c r="B23" s="226"/>
      <c r="C23" s="226"/>
      <c r="D23" s="211"/>
      <c r="E23" s="201"/>
      <c r="F23" s="229"/>
      <c r="G23" s="211"/>
      <c r="H23" s="203"/>
      <c r="I23" s="212"/>
      <c r="J23" s="208"/>
      <c r="K23" s="207"/>
      <c r="L23" s="206"/>
      <c r="M23" s="207">
        <f t="shared" ca="1" si="16"/>
        <v>0</v>
      </c>
      <c r="N23" s="208"/>
      <c r="O23" s="207"/>
      <c r="P23" s="209"/>
      <c r="Q23" s="115">
        <v>5</v>
      </c>
      <c r="R23" s="116"/>
      <c r="S23" s="117" t="str">
        <f t="shared" si="20"/>
        <v/>
      </c>
      <c r="T23" s="118"/>
      <c r="U23" s="118"/>
      <c r="V23" s="119" t="str">
        <f t="shared" si="17"/>
        <v/>
      </c>
      <c r="W23" s="118"/>
      <c r="X23" s="118"/>
      <c r="Y23" s="118"/>
      <c r="Z23" s="120" t="str">
        <f t="shared" si="21"/>
        <v/>
      </c>
      <c r="AA23" s="121" t="str">
        <f t="shared" si="0"/>
        <v/>
      </c>
      <c r="AB23" s="119" t="str">
        <f t="shared" si="18"/>
        <v/>
      </c>
      <c r="AC23" s="121" t="str">
        <f t="shared" si="2"/>
        <v/>
      </c>
      <c r="AD23" s="119" t="str">
        <f t="shared" si="22"/>
        <v/>
      </c>
      <c r="AE23" s="122" t="str">
        <f t="shared" ref="AE23:AE24" si="23">IFERROR(IF(OR(AND(AA23="Muy Baja",AC23="Leve"),AND(AA23="Muy Baja",AC23="Menor"),AND(AA23="Baja",AC23="Leve")),"Bajo",IF(OR(AND(AA23="Muy baja",AC23="Moderado"),AND(AA23="Baja",AC23="Menor"),AND(AA23="Baja",AC23="Moderado"),AND(AA23="Media",AC23="Leve"),AND(AA23="Media",AC23="Menor"),AND(AA23="Media",AC23="Moderado"),AND(AA23="Alta",AC23="Leve"),AND(AA23="Alta",AC23="Menor")),"Moderado",IF(OR(AND(AA23="Muy Baja",AC23="Mayor"),AND(AA23="Baja",AC23="Mayor"),AND(AA23="Media",AC23="Mayor"),AND(AA23="Alta",AC23="Moderado"),AND(AA23="Alta",AC23="Mayor"),AND(AA23="Muy Alta",AC23="Leve"),AND(AA23="Muy Alta",AC23="Menor"),AND(AA23="Muy Alta",AC23="Moderado"),AND(AA23="Muy Alta",AC23="Mayor")),"Alto",IF(OR(AND(AA23="Muy Baja",AC23="Catastrófico"),AND(AA23="Baja",AC23="Catastrófico"),AND(AA23="Media",AC23="Catastrófico"),AND(AA23="Alta",AC23="Catastrófico"),AND(AA23="Muy Alta",AC23="Catastrófico")),"Extremo","")))),"")</f>
        <v/>
      </c>
      <c r="AF23" s="118"/>
      <c r="AG23" s="123"/>
      <c r="AH23" s="124"/>
      <c r="AI23" s="125"/>
      <c r="AJ23" s="125"/>
      <c r="AK23" s="123"/>
      <c r="AL23" s="124"/>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row>
    <row r="24" spans="1:70" ht="14.45" customHeight="1" x14ac:dyDescent="0.3">
      <c r="A24" s="210"/>
      <c r="B24" s="227"/>
      <c r="C24" s="227"/>
      <c r="D24" s="211"/>
      <c r="E24" s="201"/>
      <c r="F24" s="230"/>
      <c r="G24" s="211"/>
      <c r="H24" s="204"/>
      <c r="I24" s="212"/>
      <c r="J24" s="208"/>
      <c r="K24" s="207"/>
      <c r="L24" s="206"/>
      <c r="M24" s="207">
        <f t="shared" ca="1" si="16"/>
        <v>0</v>
      </c>
      <c r="N24" s="208"/>
      <c r="O24" s="207"/>
      <c r="P24" s="209"/>
      <c r="Q24" s="115">
        <v>6</v>
      </c>
      <c r="R24" s="116"/>
      <c r="S24" s="117" t="str">
        <f t="shared" si="20"/>
        <v/>
      </c>
      <c r="T24" s="118"/>
      <c r="U24" s="118"/>
      <c r="V24" s="119" t="str">
        <f t="shared" si="17"/>
        <v/>
      </c>
      <c r="W24" s="118"/>
      <c r="X24" s="118"/>
      <c r="Y24" s="118"/>
      <c r="Z24" s="120" t="str">
        <f t="shared" si="21"/>
        <v/>
      </c>
      <c r="AA24" s="121" t="str">
        <f t="shared" si="0"/>
        <v/>
      </c>
      <c r="AB24" s="119" t="str">
        <f t="shared" si="18"/>
        <v/>
      </c>
      <c r="AC24" s="121" t="str">
        <f t="shared" si="2"/>
        <v/>
      </c>
      <c r="AD24" s="119" t="str">
        <f t="shared" si="22"/>
        <v/>
      </c>
      <c r="AE24" s="122" t="str">
        <f t="shared" si="23"/>
        <v/>
      </c>
      <c r="AF24" s="118"/>
      <c r="AG24" s="123"/>
      <c r="AH24" s="124"/>
      <c r="AI24" s="125"/>
      <c r="AJ24" s="125"/>
      <c r="AK24" s="123"/>
      <c r="AL24" s="124"/>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row>
    <row r="25" spans="1:70" x14ac:dyDescent="0.3">
      <c r="A25" s="210">
        <v>4</v>
      </c>
      <c r="B25" s="225"/>
      <c r="C25" s="225"/>
      <c r="D25" s="211"/>
      <c r="E25" s="201"/>
      <c r="F25" s="228"/>
      <c r="G25" s="211"/>
      <c r="H25" s="202" t="s">
        <v>212</v>
      </c>
      <c r="I25" s="212"/>
      <c r="J25" s="208" t="str">
        <f>IF(I25&lt;=0,"",IF(I25&lt;=2,"Muy Baja",IF(I25&lt;=24,"Baja",IF(I25&lt;=500,"Media",IF(I25&lt;=5000,"Alta","Muy Alta")))))</f>
        <v/>
      </c>
      <c r="K25" s="207" t="str">
        <f>IF(J25="","",IF(J25="Muy Baja",0.2,IF(J25="Baja",0.4,IF(J25="Media",0.6,IF(J25="Alta",0.8,IF(J25="Muy Alta",1,))))))</f>
        <v/>
      </c>
      <c r="L25" s="206"/>
      <c r="M25" s="207">
        <f ca="1">IF(NOT(ISERROR(MATCH(L25,'Tabla Impacto'!$B$221:$B$223,0))),'Tabla Impacto'!$F$223&amp;"Por favor no seleccionar los criterios de impacto(Afectación Económica o presupuestal y Pérdida Reputacional)",L25)</f>
        <v>0</v>
      </c>
      <c r="N25" s="208" t="str">
        <f ca="1">IF(OR(M25='Tabla Impacto'!$C$11,M25='Tabla Impacto'!$D$11),"Leve",IF(OR(M25='Tabla Impacto'!$C$12,M25='Tabla Impacto'!$D$12),"Menor",IF(OR(M25='Tabla Impacto'!$C$13,M25='Tabla Impacto'!$D$13),"Moderado",IF(OR(M25='Tabla Impacto'!$C$14,M25='Tabla Impacto'!$D$14),"Mayor",IF(OR(M25='Tabla Impacto'!$C$15,M25='Tabla Impacto'!$D$15),"Catastrófico","")))))</f>
        <v/>
      </c>
      <c r="O25" s="207" t="str">
        <f ca="1">IF(N25="","",IF(N25="Leve",0.2,IF(N25="Menor",0.4,IF(N25="Moderado",0.6,IF(N25="Mayor",0.8,IF(N25="Catastrófico",1,))))))</f>
        <v/>
      </c>
      <c r="P25" s="209" t="str">
        <f ca="1">IF(OR(AND(J25="Muy Baja",N25="Leve"),AND(J25="Muy Baja",N25="Menor"),AND(J25="Baja",N25="Leve")),"Bajo",IF(OR(AND(J25="Muy baja",N25="Moderado"),AND(J25="Baja",N25="Menor"),AND(J25="Baja",N25="Moderado"),AND(J25="Media",N25="Leve"),AND(J25="Media",N25="Menor"),AND(J25="Media",N25="Moderado"),AND(J25="Alta",N25="Leve"),AND(J25="Alta",N25="Menor")),"Moderado",IF(OR(AND(J25="Muy Baja",N25="Mayor"),AND(J25="Baja",N25="Mayor"),AND(J25="Media",N25="Mayor"),AND(J25="Alta",N25="Moderado"),AND(J25="Alta",N25="Mayor"),AND(J25="Muy Alta",N25="Leve"),AND(J25="Muy Alta",N25="Menor"),AND(J25="Muy Alta",N25="Moderado"),AND(J25="Muy Alta",N25="Mayor")),"Alto",IF(OR(AND(J25="Muy Baja",N25="Catastrófico"),AND(J25="Baja",N25="Catastrófico"),AND(J25="Media",N25="Catastrófico"),AND(J25="Alta",N25="Catastrófico"),AND(J25="Muy Alta",N25="Catastrófico")),"Extremo",""))))</f>
        <v/>
      </c>
      <c r="Q25" s="115">
        <v>1</v>
      </c>
      <c r="R25" s="116"/>
      <c r="S25" s="117" t="str">
        <f>IF(OR(T25="Preventivo",T25="Detectivo"),"Probabilidad",IF(T25="Correctivo","Impacto",""))</f>
        <v/>
      </c>
      <c r="T25" s="118"/>
      <c r="U25" s="118"/>
      <c r="V25" s="119" t="str">
        <f>IF(AND(T25="Preventivo",U25="Automático"),"50%",IF(AND(T25="Preventivo",U25="Manual"),"40%",IF(AND(T25="Detectivo",U25="Automático"),"40%",IF(AND(T25="Detectivo",U25="Manual"),"30%",IF(AND(T25="Correctivo",U25="Automático"),"35%",IF(AND(T25="Correctivo",U25="Manual"),"25%",""))))))</f>
        <v/>
      </c>
      <c r="W25" s="118"/>
      <c r="X25" s="118"/>
      <c r="Y25" s="118"/>
      <c r="Z25" s="120" t="str">
        <f>IFERROR(IF(S25="Probabilidad",(K25-(+K25*V25)),IF(S25="Impacto",K25,"")),"")</f>
        <v/>
      </c>
      <c r="AA25" s="121" t="str">
        <f>IFERROR(IF(Z25="","",IF(Z25&lt;=0.2,"Muy Baja",IF(Z25&lt;=0.4,"Baja",IF(Z25&lt;=0.6,"Media",IF(Z25&lt;=0.8,"Alta","Muy Alta"))))),"")</f>
        <v/>
      </c>
      <c r="AB25" s="119" t="str">
        <f>+Z25</f>
        <v/>
      </c>
      <c r="AC25" s="121" t="str">
        <f>IFERROR(IF(AD25="","",IF(AD25&lt;=0.2,"Leve",IF(AD25&lt;=0.4,"Menor",IF(AD25&lt;=0.6,"Moderado",IF(AD25&lt;=0.8,"Mayor","Catastrófico"))))),"")</f>
        <v/>
      </c>
      <c r="AD25" s="119" t="str">
        <f>IFERROR(IF(S25="Impacto",(O25-(+O25*V25)),IF(S25="Probabilidad",O25,"")),"")</f>
        <v/>
      </c>
      <c r="AE25" s="122" t="str">
        <f>IFERROR(IF(OR(AND(AA25="Muy Baja",AC25="Leve"),AND(AA25="Muy Baja",AC25="Menor"),AND(AA25="Baja",AC25="Leve")),"Bajo",IF(OR(AND(AA25="Muy baja",AC25="Moderado"),AND(AA25="Baja",AC25="Menor"),AND(AA25="Baja",AC25="Moderado"),AND(AA25="Media",AC25="Leve"),AND(AA25="Media",AC25="Menor"),AND(AA25="Media",AC25="Moderado"),AND(AA25="Alta",AC25="Leve"),AND(AA25="Alta",AC25="Menor")),"Moderado",IF(OR(AND(AA25="Muy Baja",AC25="Mayor"),AND(AA25="Baja",AC25="Mayor"),AND(AA25="Media",AC25="Mayor"),AND(AA25="Alta",AC25="Moderado"),AND(AA25="Alta",AC25="Mayor"),AND(AA25="Muy Alta",AC25="Leve"),AND(AA25="Muy Alta",AC25="Menor"),AND(AA25="Muy Alta",AC25="Moderado"),AND(AA25="Muy Alta",AC25="Mayor")),"Alto",IF(OR(AND(AA25="Muy Baja",AC25="Catastrófico"),AND(AA25="Baja",AC25="Catastrófico"),AND(AA25="Media",AC25="Catastrófico"),AND(AA25="Alta",AC25="Catastrófico"),AND(AA25="Muy Alta",AC25="Catastrófico")),"Extremo","")))),"")</f>
        <v/>
      </c>
      <c r="AF25" s="118"/>
      <c r="AG25" s="123"/>
      <c r="AH25" s="124"/>
      <c r="AI25" s="125"/>
      <c r="AJ25" s="125"/>
      <c r="AK25" s="123"/>
      <c r="AL25" s="124"/>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row>
    <row r="26" spans="1:70" ht="14.45" customHeight="1" x14ac:dyDescent="0.3">
      <c r="A26" s="210"/>
      <c r="B26" s="226"/>
      <c r="C26" s="226"/>
      <c r="D26" s="211"/>
      <c r="E26" s="201"/>
      <c r="F26" s="229"/>
      <c r="G26" s="211"/>
      <c r="H26" s="203"/>
      <c r="I26" s="212"/>
      <c r="J26" s="208"/>
      <c r="K26" s="207"/>
      <c r="L26" s="206"/>
      <c r="M26" s="207">
        <f t="shared" ref="M26:M30" ca="1" si="24">IF(NOT(ISERROR(MATCH(L26,_xlfn.ANCHORARRAY(E37),0))),K39&amp;"Por favor no seleccionar los criterios de impacto",L26)</f>
        <v>0</v>
      </c>
      <c r="N26" s="208"/>
      <c r="O26" s="207"/>
      <c r="P26" s="209"/>
      <c r="Q26" s="115">
        <v>2</v>
      </c>
      <c r="R26" s="116"/>
      <c r="S26" s="117" t="str">
        <f>IF(OR(T26="Preventivo",T26="Detectivo"),"Probabilidad",IF(T26="Correctivo","Impacto",""))</f>
        <v/>
      </c>
      <c r="T26" s="118"/>
      <c r="U26" s="118"/>
      <c r="V26" s="119" t="str">
        <f t="shared" ref="V26:V30" si="25">IF(AND(T26="Preventivo",U26="Automático"),"50%",IF(AND(T26="Preventivo",U26="Manual"),"40%",IF(AND(T26="Detectivo",U26="Automático"),"40%",IF(AND(T26="Detectivo",U26="Manual"),"30%",IF(AND(T26="Correctivo",U26="Automático"),"35%",IF(AND(T26="Correctivo",U26="Manual"),"25%",""))))))</f>
        <v/>
      </c>
      <c r="W26" s="118"/>
      <c r="X26" s="118"/>
      <c r="Y26" s="118"/>
      <c r="Z26" s="120" t="str">
        <f>IFERROR(IF(AND(S25="Probabilidad",S26="Probabilidad"),(AB25-(+AB25*V26)),IF(S26="Probabilidad",(K25-(+K25*V26)),IF(S26="Impacto",AB25,""))),"")</f>
        <v/>
      </c>
      <c r="AA26" s="121" t="str">
        <f t="shared" si="0"/>
        <v/>
      </c>
      <c r="AB26" s="119" t="str">
        <f t="shared" ref="AB26:AB30" si="26">+Z26</f>
        <v/>
      </c>
      <c r="AC26" s="121" t="str">
        <f t="shared" si="2"/>
        <v/>
      </c>
      <c r="AD26" s="119" t="str">
        <f>IFERROR(IF(AND(S25="Impacto",S26="Impacto"),(AD19-(+AD19*V26)),IF(S26="Impacto",($O$25-(+$O$25*V26)),IF(S26="Probabilidad",AD19,""))),"")</f>
        <v/>
      </c>
      <c r="AE26" s="122" t="str">
        <f t="shared" ref="AE26:AE27" si="27">IFERROR(IF(OR(AND(AA26="Muy Baja",AC26="Leve"),AND(AA26="Muy Baja",AC26="Menor"),AND(AA26="Baja",AC26="Leve")),"Bajo",IF(OR(AND(AA26="Muy baja",AC26="Moderado"),AND(AA26="Baja",AC26="Menor"),AND(AA26="Baja",AC26="Moderado"),AND(AA26="Media",AC26="Leve"),AND(AA26="Media",AC26="Menor"),AND(AA26="Media",AC26="Moderado"),AND(AA26="Alta",AC26="Leve"),AND(AA26="Alta",AC26="Menor")),"Moderado",IF(OR(AND(AA26="Muy Baja",AC26="Mayor"),AND(AA26="Baja",AC26="Mayor"),AND(AA26="Media",AC26="Mayor"),AND(AA26="Alta",AC26="Moderado"),AND(AA26="Alta",AC26="Mayor"),AND(AA26="Muy Alta",AC26="Leve"),AND(AA26="Muy Alta",AC26="Menor"),AND(AA26="Muy Alta",AC26="Moderado"),AND(AA26="Muy Alta",AC26="Mayor")),"Alto",IF(OR(AND(AA26="Muy Baja",AC26="Catastrófico"),AND(AA26="Baja",AC26="Catastrófico"),AND(AA26="Media",AC26="Catastrófico"),AND(AA26="Alta",AC26="Catastrófico"),AND(AA26="Muy Alta",AC26="Catastrófico")),"Extremo","")))),"")</f>
        <v/>
      </c>
      <c r="AF26" s="118"/>
      <c r="AG26" s="123"/>
      <c r="AH26" s="124"/>
      <c r="AI26" s="125"/>
      <c r="AJ26" s="125"/>
      <c r="AK26" s="123"/>
      <c r="AL26" s="124"/>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row>
    <row r="27" spans="1:70" ht="14.45" customHeight="1" x14ac:dyDescent="0.3">
      <c r="A27" s="210"/>
      <c r="B27" s="226"/>
      <c r="C27" s="226"/>
      <c r="D27" s="211"/>
      <c r="E27" s="201"/>
      <c r="F27" s="229"/>
      <c r="G27" s="211"/>
      <c r="H27" s="203"/>
      <c r="I27" s="212"/>
      <c r="J27" s="208"/>
      <c r="K27" s="207"/>
      <c r="L27" s="206"/>
      <c r="M27" s="207">
        <f t="shared" ca="1" si="24"/>
        <v>0</v>
      </c>
      <c r="N27" s="208"/>
      <c r="O27" s="207"/>
      <c r="P27" s="209"/>
      <c r="Q27" s="115">
        <v>3</v>
      </c>
      <c r="R27" s="128"/>
      <c r="S27" s="117" t="str">
        <f>IF(OR(T27="Preventivo",T27="Detectivo"),"Probabilidad",IF(T27="Correctivo","Impacto",""))</f>
        <v/>
      </c>
      <c r="T27" s="118"/>
      <c r="U27" s="118"/>
      <c r="V27" s="119" t="str">
        <f t="shared" si="25"/>
        <v/>
      </c>
      <c r="W27" s="118"/>
      <c r="X27" s="118"/>
      <c r="Y27" s="118"/>
      <c r="Z27" s="120" t="str">
        <f>IFERROR(IF(AND(S26="Probabilidad",S27="Probabilidad"),(AB26-(+AB26*V27)),IF(AND(S26="Impacto",S27="Probabilidad"),(AB25-(+AB25*V27)),IF(S27="Impacto",AB26,""))),"")</f>
        <v/>
      </c>
      <c r="AA27" s="121" t="str">
        <f t="shared" si="0"/>
        <v/>
      </c>
      <c r="AB27" s="119" t="str">
        <f t="shared" si="26"/>
        <v/>
      </c>
      <c r="AC27" s="121" t="str">
        <f t="shared" si="2"/>
        <v/>
      </c>
      <c r="AD27" s="119" t="str">
        <f>IFERROR(IF(AND(S26="Impacto",S27="Impacto"),(AD26-(+AD26*V27)),IF(AND(S26="Probabilidad",S27="Impacto"),(AD25-(+AD25*V27)),IF(S27="Probabilidad",AD26,""))),"")</f>
        <v/>
      </c>
      <c r="AE27" s="122" t="str">
        <f t="shared" si="27"/>
        <v/>
      </c>
      <c r="AF27" s="118"/>
      <c r="AG27" s="123"/>
      <c r="AH27" s="124"/>
      <c r="AI27" s="125"/>
      <c r="AJ27" s="125"/>
      <c r="AK27" s="123"/>
      <c r="AL27" s="124"/>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row>
    <row r="28" spans="1:70" ht="14.45" customHeight="1" x14ac:dyDescent="0.3">
      <c r="A28" s="210"/>
      <c r="B28" s="226"/>
      <c r="C28" s="226"/>
      <c r="D28" s="211"/>
      <c r="E28" s="201"/>
      <c r="F28" s="229"/>
      <c r="G28" s="211"/>
      <c r="H28" s="203"/>
      <c r="I28" s="212"/>
      <c r="J28" s="208"/>
      <c r="K28" s="207"/>
      <c r="L28" s="206"/>
      <c r="M28" s="207">
        <f t="shared" ca="1" si="24"/>
        <v>0</v>
      </c>
      <c r="N28" s="208"/>
      <c r="O28" s="207"/>
      <c r="P28" s="209"/>
      <c r="Q28" s="115">
        <v>4</v>
      </c>
      <c r="R28" s="116"/>
      <c r="S28" s="117" t="str">
        <f t="shared" ref="S28:S30" si="28">IF(OR(T28="Preventivo",T28="Detectivo"),"Probabilidad",IF(T28="Correctivo","Impacto",""))</f>
        <v/>
      </c>
      <c r="T28" s="118"/>
      <c r="U28" s="118"/>
      <c r="V28" s="119" t="str">
        <f t="shared" si="25"/>
        <v/>
      </c>
      <c r="W28" s="118"/>
      <c r="X28" s="118"/>
      <c r="Y28" s="118"/>
      <c r="Z28" s="120" t="str">
        <f t="shared" ref="Z28:Z30" si="29">IFERROR(IF(AND(S27="Probabilidad",S28="Probabilidad"),(AB27-(+AB27*V28)),IF(AND(S27="Impacto",S28="Probabilidad"),(AB26-(+AB26*V28)),IF(S28="Impacto",AB27,""))),"")</f>
        <v/>
      </c>
      <c r="AA28" s="121" t="str">
        <f t="shared" si="0"/>
        <v/>
      </c>
      <c r="AB28" s="119" t="str">
        <f t="shared" si="26"/>
        <v/>
      </c>
      <c r="AC28" s="121" t="str">
        <f t="shared" si="2"/>
        <v/>
      </c>
      <c r="AD28" s="119" t="str">
        <f t="shared" ref="AD28:AD30" si="30">IFERROR(IF(AND(S27="Impacto",S28="Impacto"),(AD27-(+AD27*V28)),IF(AND(S27="Probabilidad",S28="Impacto"),(AD26-(+AD26*V28)),IF(S28="Probabilidad",AD27,""))),"")</f>
        <v/>
      </c>
      <c r="AE28" s="122" t="str">
        <f>IFERROR(IF(OR(AND(AA28="Muy Baja",AC28="Leve"),AND(AA28="Muy Baja",AC28="Menor"),AND(AA28="Baja",AC28="Leve")),"Bajo",IF(OR(AND(AA28="Muy baja",AC28="Moderado"),AND(AA28="Baja",AC28="Menor"),AND(AA28="Baja",AC28="Moderado"),AND(AA28="Media",AC28="Leve"),AND(AA28="Media",AC28="Menor"),AND(AA28="Media",AC28="Moderado"),AND(AA28="Alta",AC28="Leve"),AND(AA28="Alta",AC28="Menor")),"Moderado",IF(OR(AND(AA28="Muy Baja",AC28="Mayor"),AND(AA28="Baja",AC28="Mayor"),AND(AA28="Media",AC28="Mayor"),AND(AA28="Alta",AC28="Moderado"),AND(AA28="Alta",AC28="Mayor"),AND(AA28="Muy Alta",AC28="Leve"),AND(AA28="Muy Alta",AC28="Menor"),AND(AA28="Muy Alta",AC28="Moderado"),AND(AA28="Muy Alta",AC28="Mayor")),"Alto",IF(OR(AND(AA28="Muy Baja",AC28="Catastrófico"),AND(AA28="Baja",AC28="Catastrófico"),AND(AA28="Media",AC28="Catastrófico"),AND(AA28="Alta",AC28="Catastrófico"),AND(AA28="Muy Alta",AC28="Catastrófico")),"Extremo","")))),"")</f>
        <v/>
      </c>
      <c r="AF28" s="118"/>
      <c r="AG28" s="123"/>
      <c r="AH28" s="124"/>
      <c r="AI28" s="125"/>
      <c r="AJ28" s="125"/>
      <c r="AK28" s="123"/>
      <c r="AL28" s="124"/>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row>
    <row r="29" spans="1:70" ht="14.45" customHeight="1" x14ac:dyDescent="0.3">
      <c r="A29" s="210"/>
      <c r="B29" s="226"/>
      <c r="C29" s="226"/>
      <c r="D29" s="211"/>
      <c r="E29" s="201"/>
      <c r="F29" s="229"/>
      <c r="G29" s="211"/>
      <c r="H29" s="203"/>
      <c r="I29" s="212"/>
      <c r="J29" s="208"/>
      <c r="K29" s="207"/>
      <c r="L29" s="206"/>
      <c r="M29" s="207">
        <f t="shared" ca="1" si="24"/>
        <v>0</v>
      </c>
      <c r="N29" s="208"/>
      <c r="O29" s="207"/>
      <c r="P29" s="209"/>
      <c r="Q29" s="115">
        <v>5</v>
      </c>
      <c r="R29" s="116"/>
      <c r="S29" s="117" t="str">
        <f t="shared" si="28"/>
        <v/>
      </c>
      <c r="T29" s="118"/>
      <c r="U29" s="118"/>
      <c r="V29" s="119" t="str">
        <f t="shared" si="25"/>
        <v/>
      </c>
      <c r="W29" s="118"/>
      <c r="X29" s="118"/>
      <c r="Y29" s="118"/>
      <c r="Z29" s="129" t="str">
        <f t="shared" si="29"/>
        <v/>
      </c>
      <c r="AA29" s="121" t="str">
        <f>IFERROR(IF(Z29="","",IF(Z29&lt;=0.2,"Muy Baja",IF(Z29&lt;=0.4,"Baja",IF(Z29&lt;=0.6,"Media",IF(Z29&lt;=0.8,"Alta","Muy Alta"))))),"")</f>
        <v/>
      </c>
      <c r="AB29" s="119" t="str">
        <f t="shared" si="26"/>
        <v/>
      </c>
      <c r="AC29" s="121" t="str">
        <f t="shared" si="2"/>
        <v/>
      </c>
      <c r="AD29" s="119" t="str">
        <f t="shared" si="30"/>
        <v/>
      </c>
      <c r="AE29" s="122" t="str">
        <f t="shared" ref="AE29:AE30" si="31">IFERROR(IF(OR(AND(AA29="Muy Baja",AC29="Leve"),AND(AA29="Muy Baja",AC29="Menor"),AND(AA29="Baja",AC29="Leve")),"Bajo",IF(OR(AND(AA29="Muy baja",AC29="Moderado"),AND(AA29="Baja",AC29="Menor"),AND(AA29="Baja",AC29="Moderado"),AND(AA29="Media",AC29="Leve"),AND(AA29="Media",AC29="Menor"),AND(AA29="Media",AC29="Moderado"),AND(AA29="Alta",AC29="Leve"),AND(AA29="Alta",AC29="Menor")),"Moderado",IF(OR(AND(AA29="Muy Baja",AC29="Mayor"),AND(AA29="Baja",AC29="Mayor"),AND(AA29="Media",AC29="Mayor"),AND(AA29="Alta",AC29="Moderado"),AND(AA29="Alta",AC29="Mayor"),AND(AA29="Muy Alta",AC29="Leve"),AND(AA29="Muy Alta",AC29="Menor"),AND(AA29="Muy Alta",AC29="Moderado"),AND(AA29="Muy Alta",AC29="Mayor")),"Alto",IF(OR(AND(AA29="Muy Baja",AC29="Catastrófico"),AND(AA29="Baja",AC29="Catastrófico"),AND(AA29="Media",AC29="Catastrófico"),AND(AA29="Alta",AC29="Catastrófico"),AND(AA29="Muy Alta",AC29="Catastrófico")),"Extremo","")))),"")</f>
        <v/>
      </c>
      <c r="AF29" s="118"/>
      <c r="AG29" s="123"/>
      <c r="AH29" s="124"/>
      <c r="AI29" s="125"/>
      <c r="AJ29" s="125"/>
      <c r="AK29" s="123"/>
      <c r="AL29" s="124"/>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row>
    <row r="30" spans="1:70" ht="14.45" customHeight="1" x14ac:dyDescent="0.3">
      <c r="A30" s="210"/>
      <c r="B30" s="227"/>
      <c r="C30" s="227"/>
      <c r="D30" s="211"/>
      <c r="E30" s="201"/>
      <c r="F30" s="230"/>
      <c r="G30" s="211"/>
      <c r="H30" s="204"/>
      <c r="I30" s="212"/>
      <c r="J30" s="208"/>
      <c r="K30" s="207"/>
      <c r="L30" s="206"/>
      <c r="M30" s="207">
        <f t="shared" ca="1" si="24"/>
        <v>0</v>
      </c>
      <c r="N30" s="208"/>
      <c r="O30" s="207"/>
      <c r="P30" s="209"/>
      <c r="Q30" s="115">
        <v>6</v>
      </c>
      <c r="R30" s="116"/>
      <c r="S30" s="117" t="str">
        <f t="shared" si="28"/>
        <v/>
      </c>
      <c r="T30" s="118"/>
      <c r="U30" s="118"/>
      <c r="V30" s="119" t="str">
        <f t="shared" si="25"/>
        <v/>
      </c>
      <c r="W30" s="118"/>
      <c r="X30" s="118"/>
      <c r="Y30" s="118"/>
      <c r="Z30" s="120" t="str">
        <f t="shared" si="29"/>
        <v/>
      </c>
      <c r="AA30" s="121" t="str">
        <f t="shared" si="0"/>
        <v/>
      </c>
      <c r="AB30" s="119" t="str">
        <f t="shared" si="26"/>
        <v/>
      </c>
      <c r="AC30" s="121" t="str">
        <f t="shared" si="2"/>
        <v/>
      </c>
      <c r="AD30" s="119" t="str">
        <f t="shared" si="30"/>
        <v/>
      </c>
      <c r="AE30" s="122" t="str">
        <f t="shared" si="31"/>
        <v/>
      </c>
      <c r="AF30" s="118"/>
      <c r="AG30" s="123"/>
      <c r="AH30" s="124"/>
      <c r="AI30" s="125"/>
      <c r="AJ30" s="125"/>
      <c r="AK30" s="123"/>
      <c r="AL30" s="124"/>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row>
    <row r="31" spans="1:70" x14ac:dyDescent="0.3">
      <c r="A31" s="210">
        <v>5</v>
      </c>
      <c r="B31" s="141"/>
      <c r="C31" s="141"/>
      <c r="D31" s="211"/>
      <c r="E31" s="201"/>
      <c r="F31" s="143"/>
      <c r="G31" s="211"/>
      <c r="H31" s="142"/>
      <c r="I31" s="212"/>
      <c r="J31" s="208" t="str">
        <f>IF(I31&lt;=0,"",IF(I31&lt;=2,"Muy Baja",IF(I31&lt;=24,"Baja",IF(I31&lt;=500,"Media",IF(I31&lt;=5000,"Alta","Muy Alta")))))</f>
        <v/>
      </c>
      <c r="K31" s="207" t="str">
        <f>IF(J31="","",IF(J31="Muy Baja",0.2,IF(J31="Baja",0.4,IF(J31="Media",0.6,IF(J31="Alta",0.8,IF(J31="Muy Alta",1,))))))</f>
        <v/>
      </c>
      <c r="L31" s="206"/>
      <c r="M31" s="207">
        <f ca="1">IF(NOT(ISERROR(MATCH(L31,'Tabla Impacto'!$B$221:$B$223,0))),'Tabla Impacto'!$F$223&amp;"Por favor no seleccionar los criterios de impacto(Afectación Económica o presupuestal y Pérdida Reputacional)",L31)</f>
        <v>0</v>
      </c>
      <c r="N31" s="208" t="str">
        <f ca="1">IF(OR(M31='Tabla Impacto'!$C$11,M31='Tabla Impacto'!$D$11),"Leve",IF(OR(M31='Tabla Impacto'!$C$12,M31='Tabla Impacto'!$D$12),"Menor",IF(OR(M31='Tabla Impacto'!$C$13,M31='Tabla Impacto'!$D$13),"Moderado",IF(OR(M31='Tabla Impacto'!$C$14,M31='Tabla Impacto'!$D$14),"Mayor",IF(OR(M31='Tabla Impacto'!$C$15,M31='Tabla Impacto'!$D$15),"Catastrófico","")))))</f>
        <v/>
      </c>
      <c r="O31" s="207" t="str">
        <f ca="1">IF(N31="","",IF(N31="Leve",0.2,IF(N31="Menor",0.4,IF(N31="Moderado",0.6,IF(N31="Mayor",0.8,IF(N31="Catastrófico",1,))))))</f>
        <v/>
      </c>
      <c r="P31" s="209" t="str">
        <f ca="1">IF(OR(AND(J31="Muy Baja",N31="Leve"),AND(J31="Muy Baja",N31="Menor"),AND(J31="Baja",N31="Leve")),"Bajo",IF(OR(AND(J31="Muy baja",N31="Moderado"),AND(J31="Baja",N31="Menor"),AND(J31="Baja",N31="Moderado"),AND(J31="Media",N31="Leve"),AND(J31="Media",N31="Menor"),AND(J31="Media",N31="Moderado"),AND(J31="Alta",N31="Leve"),AND(J31="Alta",N31="Menor")),"Moderado",IF(OR(AND(J31="Muy Baja",N31="Mayor"),AND(J31="Baja",N31="Mayor"),AND(J31="Media",N31="Mayor"),AND(J31="Alta",N31="Moderado"),AND(J31="Alta",N31="Mayor"),AND(J31="Muy Alta",N31="Leve"),AND(J31="Muy Alta",N31="Menor"),AND(J31="Muy Alta",N31="Moderado"),AND(J31="Muy Alta",N31="Mayor")),"Alto",IF(OR(AND(J31="Muy Baja",N31="Catastrófico"),AND(J31="Baja",N31="Catastrófico"),AND(J31="Media",N31="Catastrófico"),AND(J31="Alta",N31="Catastrófico"),AND(J31="Muy Alta",N31="Catastrófico")),"Extremo",""))))</f>
        <v/>
      </c>
      <c r="Q31" s="115">
        <v>1</v>
      </c>
      <c r="R31" s="116"/>
      <c r="S31" s="117" t="str">
        <f>IF(OR(T31="Preventivo",T31="Detectivo"),"Probabilidad",IF(T31="Correctivo","Impacto",""))</f>
        <v/>
      </c>
      <c r="T31" s="118"/>
      <c r="U31" s="118"/>
      <c r="V31" s="119" t="str">
        <f>IF(AND(T31="Preventivo",U31="Automático"),"50%",IF(AND(T31="Preventivo",U31="Manual"),"40%",IF(AND(T31="Detectivo",U31="Automático"),"40%",IF(AND(T31="Detectivo",U31="Manual"),"30%",IF(AND(T31="Correctivo",U31="Automático"),"35%",IF(AND(T31="Correctivo",U31="Manual"),"25%",""))))))</f>
        <v/>
      </c>
      <c r="W31" s="118"/>
      <c r="X31" s="118"/>
      <c r="Y31" s="118"/>
      <c r="Z31" s="120" t="str">
        <f>IFERROR(IF(S31="Probabilidad",(K31-(+K31*V31)),IF(S31="Impacto",K31,"")),"")</f>
        <v/>
      </c>
      <c r="AA31" s="121" t="str">
        <f>IFERROR(IF(Z31="","",IF(Z31&lt;=0.2,"Muy Baja",IF(Z31&lt;=0.4,"Baja",IF(Z31&lt;=0.6,"Media",IF(Z31&lt;=0.8,"Alta","Muy Alta"))))),"")</f>
        <v/>
      </c>
      <c r="AB31" s="119" t="str">
        <f>+Z31</f>
        <v/>
      </c>
      <c r="AC31" s="121" t="str">
        <f>IFERROR(IF(AD31="","",IF(AD31&lt;=0.2,"Leve",IF(AD31&lt;=0.4,"Menor",IF(AD31&lt;=0.6,"Moderado",IF(AD31&lt;=0.8,"Mayor","Catastrófico"))))),"")</f>
        <v/>
      </c>
      <c r="AD31" s="119" t="str">
        <f>IFERROR(IF(S31="Impacto",(O31-(+O31*V31)),IF(S31="Probabilidad",O31,"")),"")</f>
        <v/>
      </c>
      <c r="AE31" s="122" t="str">
        <f>IFERROR(IF(OR(AND(AA31="Muy Baja",AC31="Leve"),AND(AA31="Muy Baja",AC31="Menor"),AND(AA31="Baja",AC31="Leve")),"Bajo",IF(OR(AND(AA31="Muy baja",AC31="Moderado"),AND(AA31="Baja",AC31="Menor"),AND(AA31="Baja",AC31="Moderado"),AND(AA31="Media",AC31="Leve"),AND(AA31="Media",AC31="Menor"),AND(AA31="Media",AC31="Moderado"),AND(AA31="Alta",AC31="Leve"),AND(AA31="Alta",AC31="Menor")),"Moderado",IF(OR(AND(AA31="Muy Baja",AC31="Mayor"),AND(AA31="Baja",AC31="Mayor"),AND(AA31="Media",AC31="Mayor"),AND(AA31="Alta",AC31="Moderado"),AND(AA31="Alta",AC31="Mayor"),AND(AA31="Muy Alta",AC31="Leve"),AND(AA31="Muy Alta",AC31="Menor"),AND(AA31="Muy Alta",AC31="Moderado"),AND(AA31="Muy Alta",AC31="Mayor")),"Alto",IF(OR(AND(AA31="Muy Baja",AC31="Catastrófico"),AND(AA31="Baja",AC31="Catastrófico"),AND(AA31="Media",AC31="Catastrófico"),AND(AA31="Alta",AC31="Catastrófico"),AND(AA31="Muy Alta",AC31="Catastrófico")),"Extremo","")))),"")</f>
        <v/>
      </c>
      <c r="AF31" s="118"/>
      <c r="AG31" s="123"/>
      <c r="AH31" s="124"/>
      <c r="AI31" s="125"/>
      <c r="AJ31" s="125"/>
      <c r="AK31" s="123"/>
      <c r="AL31" s="124"/>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row>
    <row r="32" spans="1:70" x14ac:dyDescent="0.3">
      <c r="A32" s="210"/>
      <c r="B32" s="141"/>
      <c r="C32" s="141"/>
      <c r="D32" s="211"/>
      <c r="E32" s="201"/>
      <c r="F32" s="143"/>
      <c r="G32" s="211"/>
      <c r="H32" s="142"/>
      <c r="I32" s="212"/>
      <c r="J32" s="208"/>
      <c r="K32" s="207"/>
      <c r="L32" s="206"/>
      <c r="M32" s="207">
        <f t="shared" ref="M32:M36" ca="1" si="32">IF(NOT(ISERROR(MATCH(L32,_xlfn.ANCHORARRAY(E43),0))),K45&amp;"Por favor no seleccionar los criterios de impacto",L32)</f>
        <v>0</v>
      </c>
      <c r="N32" s="208"/>
      <c r="O32" s="207"/>
      <c r="P32" s="209"/>
      <c r="Q32" s="115">
        <v>2</v>
      </c>
      <c r="R32" s="116"/>
      <c r="S32" s="117" t="str">
        <f>IF(OR(T32="Preventivo",T32="Detectivo"),"Probabilidad",IF(T32="Correctivo","Impacto",""))</f>
        <v/>
      </c>
      <c r="T32" s="118"/>
      <c r="U32" s="118"/>
      <c r="V32" s="119" t="str">
        <f t="shared" ref="V32:V36" si="33">IF(AND(T32="Preventivo",U32="Automático"),"50%",IF(AND(T32="Preventivo",U32="Manual"),"40%",IF(AND(T32="Detectivo",U32="Automático"),"40%",IF(AND(T32="Detectivo",U32="Manual"),"30%",IF(AND(T32="Correctivo",U32="Automático"),"35%",IF(AND(T32="Correctivo",U32="Manual"),"25%",""))))))</f>
        <v/>
      </c>
      <c r="W32" s="118"/>
      <c r="X32" s="118"/>
      <c r="Y32" s="118"/>
      <c r="Z32" s="120" t="str">
        <f>IFERROR(IF(AND(S31="Probabilidad",S32="Probabilidad"),(AB31-(+AB31*V32)),IF(S32="Probabilidad",(K31-(+K31*V32)),IF(S32="Impacto",AB31,""))),"")</f>
        <v/>
      </c>
      <c r="AA32" s="121" t="str">
        <f t="shared" si="0"/>
        <v/>
      </c>
      <c r="AB32" s="119" t="str">
        <f t="shared" ref="AB32:AB36" si="34">+Z32</f>
        <v/>
      </c>
      <c r="AC32" s="121" t="str">
        <f t="shared" si="2"/>
        <v/>
      </c>
      <c r="AD32" s="119" t="str">
        <f>IFERROR(IF(AND(S31="Impacto",S32="Impacto"),(AD25-(+AD25*V32)),IF(S32="Impacto",($O$31-(+$O$31*V32)),IF(S32="Probabilidad",AD25,""))),"")</f>
        <v/>
      </c>
      <c r="AE32" s="122" t="str">
        <f t="shared" ref="AE32:AE33" si="35">IFERROR(IF(OR(AND(AA32="Muy Baja",AC32="Leve"),AND(AA32="Muy Baja",AC32="Menor"),AND(AA32="Baja",AC32="Leve")),"Bajo",IF(OR(AND(AA32="Muy baja",AC32="Moderado"),AND(AA32="Baja",AC32="Menor"),AND(AA32="Baja",AC32="Moderado"),AND(AA32="Media",AC32="Leve"),AND(AA32="Media",AC32="Menor"),AND(AA32="Media",AC32="Moderado"),AND(AA32="Alta",AC32="Leve"),AND(AA32="Alta",AC32="Menor")),"Moderado",IF(OR(AND(AA32="Muy Baja",AC32="Mayor"),AND(AA32="Baja",AC32="Mayor"),AND(AA32="Media",AC32="Mayor"),AND(AA32="Alta",AC32="Moderado"),AND(AA32="Alta",AC32="Mayor"),AND(AA32="Muy Alta",AC32="Leve"),AND(AA32="Muy Alta",AC32="Menor"),AND(AA32="Muy Alta",AC32="Moderado"),AND(AA32="Muy Alta",AC32="Mayor")),"Alto",IF(OR(AND(AA32="Muy Baja",AC32="Catastrófico"),AND(AA32="Baja",AC32="Catastrófico"),AND(AA32="Media",AC32="Catastrófico"),AND(AA32="Alta",AC32="Catastrófico"),AND(AA32="Muy Alta",AC32="Catastrófico")),"Extremo","")))),"")</f>
        <v/>
      </c>
      <c r="AF32" s="118"/>
      <c r="AG32" s="123"/>
      <c r="AH32" s="124"/>
      <c r="AI32" s="125"/>
      <c r="AJ32" s="125"/>
      <c r="AK32" s="123"/>
      <c r="AL32" s="124"/>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row>
    <row r="33" spans="1:70" x14ac:dyDescent="0.3">
      <c r="A33" s="210"/>
      <c r="B33" s="141"/>
      <c r="C33" s="141"/>
      <c r="D33" s="211"/>
      <c r="E33" s="201"/>
      <c r="F33" s="143"/>
      <c r="G33" s="211"/>
      <c r="H33" s="142"/>
      <c r="I33" s="212"/>
      <c r="J33" s="208"/>
      <c r="K33" s="207"/>
      <c r="L33" s="206"/>
      <c r="M33" s="207">
        <f t="shared" ca="1" si="32"/>
        <v>0</v>
      </c>
      <c r="N33" s="208"/>
      <c r="O33" s="207"/>
      <c r="P33" s="209"/>
      <c r="Q33" s="115">
        <v>3</v>
      </c>
      <c r="R33" s="128"/>
      <c r="S33" s="117" t="str">
        <f>IF(OR(T33="Preventivo",T33="Detectivo"),"Probabilidad",IF(T33="Correctivo","Impacto",""))</f>
        <v/>
      </c>
      <c r="T33" s="118"/>
      <c r="U33" s="118"/>
      <c r="V33" s="119" t="str">
        <f t="shared" si="33"/>
        <v/>
      </c>
      <c r="W33" s="118"/>
      <c r="X33" s="118"/>
      <c r="Y33" s="118"/>
      <c r="Z33" s="120" t="str">
        <f>IFERROR(IF(AND(S32="Probabilidad",S33="Probabilidad"),(AB32-(+AB32*V33)),IF(AND(S32="Impacto",S33="Probabilidad"),(AB31-(+AB31*V33)),IF(S33="Impacto",AB32,""))),"")</f>
        <v/>
      </c>
      <c r="AA33" s="121" t="str">
        <f t="shared" si="0"/>
        <v/>
      </c>
      <c r="AB33" s="119" t="str">
        <f t="shared" si="34"/>
        <v/>
      </c>
      <c r="AC33" s="121" t="str">
        <f t="shared" si="2"/>
        <v/>
      </c>
      <c r="AD33" s="119" t="str">
        <f>IFERROR(IF(AND(S32="Impacto",S33="Impacto"),(AD32-(+AD32*V33)),IF(AND(S32="Probabilidad",S33="Impacto"),(AD31-(+AD31*V33)),IF(S33="Probabilidad",AD32,""))),"")</f>
        <v/>
      </c>
      <c r="AE33" s="122" t="str">
        <f t="shared" si="35"/>
        <v/>
      </c>
      <c r="AF33" s="118"/>
      <c r="AG33" s="123"/>
      <c r="AH33" s="124"/>
      <c r="AI33" s="125"/>
      <c r="AJ33" s="125"/>
      <c r="AK33" s="123"/>
      <c r="AL33" s="124"/>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row>
    <row r="34" spans="1:70" x14ac:dyDescent="0.3">
      <c r="A34" s="210"/>
      <c r="B34" s="141"/>
      <c r="C34" s="141"/>
      <c r="D34" s="211"/>
      <c r="E34" s="201"/>
      <c r="F34" s="143"/>
      <c r="G34" s="211"/>
      <c r="H34" s="142"/>
      <c r="I34" s="212"/>
      <c r="J34" s="208"/>
      <c r="K34" s="207"/>
      <c r="L34" s="206"/>
      <c r="M34" s="207">
        <f t="shared" ca="1" si="32"/>
        <v>0</v>
      </c>
      <c r="N34" s="208"/>
      <c r="O34" s="207"/>
      <c r="P34" s="209"/>
      <c r="Q34" s="115">
        <v>4</v>
      </c>
      <c r="R34" s="116"/>
      <c r="S34" s="117" t="str">
        <f t="shared" ref="S34:S36" si="36">IF(OR(T34="Preventivo",T34="Detectivo"),"Probabilidad",IF(T34="Correctivo","Impacto",""))</f>
        <v/>
      </c>
      <c r="T34" s="118"/>
      <c r="U34" s="118"/>
      <c r="V34" s="119" t="str">
        <f t="shared" si="33"/>
        <v/>
      </c>
      <c r="W34" s="118"/>
      <c r="X34" s="118"/>
      <c r="Y34" s="118"/>
      <c r="Z34" s="120" t="str">
        <f t="shared" ref="Z34:Z36" si="37">IFERROR(IF(AND(S33="Probabilidad",S34="Probabilidad"),(AB33-(+AB33*V34)),IF(AND(S33="Impacto",S34="Probabilidad"),(AB32-(+AB32*V34)),IF(S34="Impacto",AB33,""))),"")</f>
        <v/>
      </c>
      <c r="AA34" s="121" t="str">
        <f t="shared" si="0"/>
        <v/>
      </c>
      <c r="AB34" s="119" t="str">
        <f t="shared" si="34"/>
        <v/>
      </c>
      <c r="AC34" s="121" t="str">
        <f t="shared" si="2"/>
        <v/>
      </c>
      <c r="AD34" s="119" t="str">
        <f t="shared" ref="AD34:AD36" si="38">IFERROR(IF(AND(S33="Impacto",S34="Impacto"),(AD33-(+AD33*V34)),IF(AND(S33="Probabilidad",S34="Impacto"),(AD32-(+AD32*V34)),IF(S34="Probabilidad",AD33,""))),"")</f>
        <v/>
      </c>
      <c r="AE34" s="122" t="str">
        <f>IFERROR(IF(OR(AND(AA34="Muy Baja",AC34="Leve"),AND(AA34="Muy Baja",AC34="Menor"),AND(AA34="Baja",AC34="Leve")),"Bajo",IF(OR(AND(AA34="Muy baja",AC34="Moderado"),AND(AA34="Baja",AC34="Menor"),AND(AA34="Baja",AC34="Moderado"),AND(AA34="Media",AC34="Leve"),AND(AA34="Media",AC34="Menor"),AND(AA34="Media",AC34="Moderado"),AND(AA34="Alta",AC34="Leve"),AND(AA34="Alta",AC34="Menor")),"Moderado",IF(OR(AND(AA34="Muy Baja",AC34="Mayor"),AND(AA34="Baja",AC34="Mayor"),AND(AA34="Media",AC34="Mayor"),AND(AA34="Alta",AC34="Moderado"),AND(AA34="Alta",AC34="Mayor"),AND(AA34="Muy Alta",AC34="Leve"),AND(AA34="Muy Alta",AC34="Menor"),AND(AA34="Muy Alta",AC34="Moderado"),AND(AA34="Muy Alta",AC34="Mayor")),"Alto",IF(OR(AND(AA34="Muy Baja",AC34="Catastrófico"),AND(AA34="Baja",AC34="Catastrófico"),AND(AA34="Media",AC34="Catastrófico"),AND(AA34="Alta",AC34="Catastrófico"),AND(AA34="Muy Alta",AC34="Catastrófico")),"Extremo","")))),"")</f>
        <v/>
      </c>
      <c r="AF34" s="118"/>
      <c r="AG34" s="123"/>
      <c r="AH34" s="124"/>
      <c r="AI34" s="125"/>
      <c r="AJ34" s="125"/>
      <c r="AK34" s="123"/>
      <c r="AL34" s="124"/>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row>
    <row r="35" spans="1:70" x14ac:dyDescent="0.3">
      <c r="A35" s="210"/>
      <c r="B35" s="141"/>
      <c r="C35" s="141"/>
      <c r="D35" s="211"/>
      <c r="E35" s="201"/>
      <c r="F35" s="143"/>
      <c r="G35" s="211"/>
      <c r="H35" s="142"/>
      <c r="I35" s="212"/>
      <c r="J35" s="208"/>
      <c r="K35" s="207"/>
      <c r="L35" s="206"/>
      <c r="M35" s="207">
        <f t="shared" ca="1" si="32"/>
        <v>0</v>
      </c>
      <c r="N35" s="208"/>
      <c r="O35" s="207"/>
      <c r="P35" s="209"/>
      <c r="Q35" s="115">
        <v>5</v>
      </c>
      <c r="R35" s="116"/>
      <c r="S35" s="117" t="str">
        <f t="shared" si="36"/>
        <v/>
      </c>
      <c r="T35" s="118"/>
      <c r="U35" s="118"/>
      <c r="V35" s="119" t="str">
        <f t="shared" si="33"/>
        <v/>
      </c>
      <c r="W35" s="118"/>
      <c r="X35" s="118"/>
      <c r="Y35" s="118"/>
      <c r="Z35" s="120" t="str">
        <f t="shared" si="37"/>
        <v/>
      </c>
      <c r="AA35" s="121" t="str">
        <f t="shared" si="0"/>
        <v/>
      </c>
      <c r="AB35" s="119" t="str">
        <f t="shared" si="34"/>
        <v/>
      </c>
      <c r="AC35" s="121" t="str">
        <f t="shared" si="2"/>
        <v/>
      </c>
      <c r="AD35" s="119" t="str">
        <f t="shared" si="38"/>
        <v/>
      </c>
      <c r="AE35" s="122" t="str">
        <f t="shared" ref="AE35:AE36" si="39">IFERROR(IF(OR(AND(AA35="Muy Baja",AC35="Leve"),AND(AA35="Muy Baja",AC35="Menor"),AND(AA35="Baja",AC35="Leve")),"Bajo",IF(OR(AND(AA35="Muy baja",AC35="Moderado"),AND(AA35="Baja",AC35="Menor"),AND(AA35="Baja",AC35="Moderado"),AND(AA35="Media",AC35="Leve"),AND(AA35="Media",AC35="Menor"),AND(AA35="Media",AC35="Moderado"),AND(AA35="Alta",AC35="Leve"),AND(AA35="Alta",AC35="Menor")),"Moderado",IF(OR(AND(AA35="Muy Baja",AC35="Mayor"),AND(AA35="Baja",AC35="Mayor"),AND(AA35="Media",AC35="Mayor"),AND(AA35="Alta",AC35="Moderado"),AND(AA35="Alta",AC35="Mayor"),AND(AA35="Muy Alta",AC35="Leve"),AND(AA35="Muy Alta",AC35="Menor"),AND(AA35="Muy Alta",AC35="Moderado"),AND(AA35="Muy Alta",AC35="Mayor")),"Alto",IF(OR(AND(AA35="Muy Baja",AC35="Catastrófico"),AND(AA35="Baja",AC35="Catastrófico"),AND(AA35="Media",AC35="Catastrófico"),AND(AA35="Alta",AC35="Catastrófico"),AND(AA35="Muy Alta",AC35="Catastrófico")),"Extremo","")))),"")</f>
        <v/>
      </c>
      <c r="AF35" s="118"/>
      <c r="AG35" s="123"/>
      <c r="AH35" s="124"/>
      <c r="AI35" s="125"/>
      <c r="AJ35" s="125"/>
      <c r="AK35" s="123"/>
      <c r="AL35" s="124"/>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row>
    <row r="36" spans="1:70" x14ac:dyDescent="0.3">
      <c r="A36" s="210"/>
      <c r="B36" s="141"/>
      <c r="C36" s="141"/>
      <c r="D36" s="211"/>
      <c r="E36" s="201"/>
      <c r="F36" s="143"/>
      <c r="G36" s="211"/>
      <c r="H36" s="142"/>
      <c r="I36" s="212"/>
      <c r="J36" s="208"/>
      <c r="K36" s="207"/>
      <c r="L36" s="206"/>
      <c r="M36" s="207">
        <f t="shared" ca="1" si="32"/>
        <v>0</v>
      </c>
      <c r="N36" s="208"/>
      <c r="O36" s="207"/>
      <c r="P36" s="209"/>
      <c r="Q36" s="115">
        <v>6</v>
      </c>
      <c r="R36" s="116"/>
      <c r="S36" s="117" t="str">
        <f t="shared" si="36"/>
        <v/>
      </c>
      <c r="T36" s="118"/>
      <c r="U36" s="118"/>
      <c r="V36" s="119" t="str">
        <f t="shared" si="33"/>
        <v/>
      </c>
      <c r="W36" s="118"/>
      <c r="X36" s="118"/>
      <c r="Y36" s="118"/>
      <c r="Z36" s="120" t="str">
        <f t="shared" si="37"/>
        <v/>
      </c>
      <c r="AA36" s="121" t="str">
        <f t="shared" si="0"/>
        <v/>
      </c>
      <c r="AB36" s="119" t="str">
        <f t="shared" si="34"/>
        <v/>
      </c>
      <c r="AC36" s="121" t="str">
        <f t="shared" si="2"/>
        <v/>
      </c>
      <c r="AD36" s="119" t="str">
        <f t="shared" si="38"/>
        <v/>
      </c>
      <c r="AE36" s="122" t="str">
        <f t="shared" si="39"/>
        <v/>
      </c>
      <c r="AF36" s="118"/>
      <c r="AG36" s="123"/>
      <c r="AH36" s="124"/>
      <c r="AI36" s="125"/>
      <c r="AJ36" s="125"/>
      <c r="AK36" s="123"/>
      <c r="AL36" s="124"/>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row>
    <row r="37" spans="1:70" x14ac:dyDescent="0.3">
      <c r="A37" s="210">
        <v>6</v>
      </c>
      <c r="B37" s="141"/>
      <c r="C37" s="141"/>
      <c r="D37" s="211"/>
      <c r="E37" s="201"/>
      <c r="F37" s="143"/>
      <c r="G37" s="211"/>
      <c r="H37" s="142"/>
      <c r="I37" s="212"/>
      <c r="J37" s="208" t="str">
        <f>IF(I37&lt;=0,"",IF(I37&lt;=2,"Muy Baja",IF(I37&lt;=24,"Baja",IF(I37&lt;=500,"Media",IF(I37&lt;=5000,"Alta","Muy Alta")))))</f>
        <v/>
      </c>
      <c r="K37" s="207" t="str">
        <f>IF(J37="","",IF(J37="Muy Baja",0.2,IF(J37="Baja",0.4,IF(J37="Media",0.6,IF(J37="Alta",0.8,IF(J37="Muy Alta",1,))))))</f>
        <v/>
      </c>
      <c r="L37" s="206"/>
      <c r="M37" s="207">
        <f ca="1">IF(NOT(ISERROR(MATCH(L37,'Tabla Impacto'!$B$221:$B$223,0))),'Tabla Impacto'!$F$223&amp;"Por favor no seleccionar los criterios de impacto(Afectación Económica o presupuestal y Pérdida Reputacional)",L37)</f>
        <v>0</v>
      </c>
      <c r="N37" s="208" t="str">
        <f ca="1">IF(OR(M37='Tabla Impacto'!$C$11,M37='Tabla Impacto'!$D$11),"Leve",IF(OR(M37='Tabla Impacto'!$C$12,M37='Tabla Impacto'!$D$12),"Menor",IF(OR(M37='Tabla Impacto'!$C$13,M37='Tabla Impacto'!$D$13),"Moderado",IF(OR(M37='Tabla Impacto'!$C$14,M37='Tabla Impacto'!$D$14),"Mayor",IF(OR(M37='Tabla Impacto'!$C$15,M37='Tabla Impacto'!$D$15),"Catastrófico","")))))</f>
        <v/>
      </c>
      <c r="O37" s="207" t="str">
        <f ca="1">IF(N37="","",IF(N37="Leve",0.2,IF(N37="Menor",0.4,IF(N37="Moderado",0.6,IF(N37="Mayor",0.8,IF(N37="Catastrófico",1,))))))</f>
        <v/>
      </c>
      <c r="P37" s="209" t="str">
        <f ca="1">IF(OR(AND(J37="Muy Baja",N37="Leve"),AND(J37="Muy Baja",N37="Menor"),AND(J37="Baja",N37="Leve")),"Bajo",IF(OR(AND(J37="Muy baja",N37="Moderado"),AND(J37="Baja",N37="Menor"),AND(J37="Baja",N37="Moderado"),AND(J37="Media",N37="Leve"),AND(J37="Media",N37="Menor"),AND(J37="Media",N37="Moderado"),AND(J37="Alta",N37="Leve"),AND(J37="Alta",N37="Menor")),"Moderado",IF(OR(AND(J37="Muy Baja",N37="Mayor"),AND(J37="Baja",N37="Mayor"),AND(J37="Media",N37="Mayor"),AND(J37="Alta",N37="Moderado"),AND(J37="Alta",N37="Mayor"),AND(J37="Muy Alta",N37="Leve"),AND(J37="Muy Alta",N37="Menor"),AND(J37="Muy Alta",N37="Moderado"),AND(J37="Muy Alta",N37="Mayor")),"Alto",IF(OR(AND(J37="Muy Baja",N37="Catastrófico"),AND(J37="Baja",N37="Catastrófico"),AND(J37="Media",N37="Catastrófico"),AND(J37="Alta",N37="Catastrófico"),AND(J37="Muy Alta",N37="Catastrófico")),"Extremo",""))))</f>
        <v/>
      </c>
      <c r="Q37" s="115">
        <v>1</v>
      </c>
      <c r="R37" s="116"/>
      <c r="S37" s="117" t="str">
        <f>IF(OR(T37="Preventivo",T37="Detectivo"),"Probabilidad",IF(T37="Correctivo","Impacto",""))</f>
        <v/>
      </c>
      <c r="T37" s="118"/>
      <c r="U37" s="118"/>
      <c r="V37" s="119" t="str">
        <f>IF(AND(T37="Preventivo",U37="Automático"),"50%",IF(AND(T37="Preventivo",U37="Manual"),"40%",IF(AND(T37="Detectivo",U37="Automático"),"40%",IF(AND(T37="Detectivo",U37="Manual"),"30%",IF(AND(T37="Correctivo",U37="Automático"),"35%",IF(AND(T37="Correctivo",U37="Manual"),"25%",""))))))</f>
        <v/>
      </c>
      <c r="W37" s="118"/>
      <c r="X37" s="118"/>
      <c r="Y37" s="118"/>
      <c r="Z37" s="120" t="str">
        <f>IFERROR(IF(S37="Probabilidad",(K37-(+K37*V37)),IF(S37="Impacto",K37,"")),"")</f>
        <v/>
      </c>
      <c r="AA37" s="121" t="str">
        <f>IFERROR(IF(Z37="","",IF(Z37&lt;=0.2,"Muy Baja",IF(Z37&lt;=0.4,"Baja",IF(Z37&lt;=0.6,"Media",IF(Z37&lt;=0.8,"Alta","Muy Alta"))))),"")</f>
        <v/>
      </c>
      <c r="AB37" s="119" t="str">
        <f>+Z37</f>
        <v/>
      </c>
      <c r="AC37" s="121" t="str">
        <f>IFERROR(IF(AD37="","",IF(AD37&lt;=0.2,"Leve",IF(AD37&lt;=0.4,"Menor",IF(AD37&lt;=0.6,"Moderado",IF(AD37&lt;=0.8,"Mayor","Catastrófico"))))),"")</f>
        <v/>
      </c>
      <c r="AD37" s="119" t="str">
        <f>IFERROR(IF(S37="Impacto",(O37-(+O37*V37)),IF(S37="Probabilidad",O37,"")),"")</f>
        <v/>
      </c>
      <c r="AE37" s="122" t="str">
        <f>IFERROR(IF(OR(AND(AA37="Muy Baja",AC37="Leve"),AND(AA37="Muy Baja",AC37="Menor"),AND(AA37="Baja",AC37="Leve")),"Bajo",IF(OR(AND(AA37="Muy baja",AC37="Moderado"),AND(AA37="Baja",AC37="Menor"),AND(AA37="Baja",AC37="Moderado"),AND(AA37="Media",AC37="Leve"),AND(AA37="Media",AC37="Menor"),AND(AA37="Media",AC37="Moderado"),AND(AA37="Alta",AC37="Leve"),AND(AA37="Alta",AC37="Menor")),"Moderado",IF(OR(AND(AA37="Muy Baja",AC37="Mayor"),AND(AA37="Baja",AC37="Mayor"),AND(AA37="Media",AC37="Mayor"),AND(AA37="Alta",AC37="Moderado"),AND(AA37="Alta",AC37="Mayor"),AND(AA37="Muy Alta",AC37="Leve"),AND(AA37="Muy Alta",AC37="Menor"),AND(AA37="Muy Alta",AC37="Moderado"),AND(AA37="Muy Alta",AC37="Mayor")),"Alto",IF(OR(AND(AA37="Muy Baja",AC37="Catastrófico"),AND(AA37="Baja",AC37="Catastrófico"),AND(AA37="Media",AC37="Catastrófico"),AND(AA37="Alta",AC37="Catastrófico"),AND(AA37="Muy Alta",AC37="Catastrófico")),"Extremo","")))),"")</f>
        <v/>
      </c>
      <c r="AF37" s="118"/>
      <c r="AG37" s="123"/>
      <c r="AH37" s="124"/>
      <c r="AI37" s="125"/>
      <c r="AJ37" s="125"/>
      <c r="AK37" s="123"/>
      <c r="AL37" s="124"/>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row>
    <row r="38" spans="1:70" x14ac:dyDescent="0.3">
      <c r="A38" s="210"/>
      <c r="B38" s="141"/>
      <c r="C38" s="141"/>
      <c r="D38" s="211"/>
      <c r="E38" s="201"/>
      <c r="F38" s="143"/>
      <c r="G38" s="211"/>
      <c r="H38" s="142"/>
      <c r="I38" s="212"/>
      <c r="J38" s="208"/>
      <c r="K38" s="207"/>
      <c r="L38" s="206"/>
      <c r="M38" s="207">
        <f t="shared" ref="M38:M42" ca="1" si="40">IF(NOT(ISERROR(MATCH(L38,_xlfn.ANCHORARRAY(E49),0))),K51&amp;"Por favor no seleccionar los criterios de impacto",L38)</f>
        <v>0</v>
      </c>
      <c r="N38" s="208"/>
      <c r="O38" s="207"/>
      <c r="P38" s="209"/>
      <c r="Q38" s="115">
        <v>2</v>
      </c>
      <c r="R38" s="116"/>
      <c r="S38" s="117" t="str">
        <f>IF(OR(T38="Preventivo",T38="Detectivo"),"Probabilidad",IF(T38="Correctivo","Impacto",""))</f>
        <v/>
      </c>
      <c r="T38" s="118"/>
      <c r="U38" s="118"/>
      <c r="V38" s="119" t="str">
        <f t="shared" ref="V38:V42" si="41">IF(AND(T38="Preventivo",U38="Automático"),"50%",IF(AND(T38="Preventivo",U38="Manual"),"40%",IF(AND(T38="Detectivo",U38="Automático"),"40%",IF(AND(T38="Detectivo",U38="Manual"),"30%",IF(AND(T38="Correctivo",U38="Automático"),"35%",IF(AND(T38="Correctivo",U38="Manual"),"25%",""))))))</f>
        <v/>
      </c>
      <c r="W38" s="118"/>
      <c r="X38" s="118"/>
      <c r="Y38" s="118"/>
      <c r="Z38" s="120" t="str">
        <f>IFERROR(IF(AND(S37="Probabilidad",S38="Probabilidad"),(AB37-(+AB37*V38)),IF(S38="Probabilidad",(K37-(+K37*V38)),IF(S38="Impacto",AB37,""))),"")</f>
        <v/>
      </c>
      <c r="AA38" s="121" t="str">
        <f t="shared" si="0"/>
        <v/>
      </c>
      <c r="AB38" s="119" t="str">
        <f t="shared" ref="AB38:AB42" si="42">+Z38</f>
        <v/>
      </c>
      <c r="AC38" s="121" t="str">
        <f t="shared" si="2"/>
        <v/>
      </c>
      <c r="AD38" s="119" t="str">
        <f>IFERROR(IF(AND(S37="Impacto",S38="Impacto"),(AD31-(+AD31*V38)),IF(S38="Impacto",($O$37-(+$O$37*V38)),IF(S38="Probabilidad",AD31,""))),"")</f>
        <v/>
      </c>
      <c r="AE38" s="122" t="str">
        <f t="shared" ref="AE38:AE39" si="43">IFERROR(IF(OR(AND(AA38="Muy Baja",AC38="Leve"),AND(AA38="Muy Baja",AC38="Menor"),AND(AA38="Baja",AC38="Leve")),"Bajo",IF(OR(AND(AA38="Muy baja",AC38="Moderado"),AND(AA38="Baja",AC38="Menor"),AND(AA38="Baja",AC38="Moderado"),AND(AA38="Media",AC38="Leve"),AND(AA38="Media",AC38="Menor"),AND(AA38="Media",AC38="Moderado"),AND(AA38="Alta",AC38="Leve"),AND(AA38="Alta",AC38="Menor")),"Moderado",IF(OR(AND(AA38="Muy Baja",AC38="Mayor"),AND(AA38="Baja",AC38="Mayor"),AND(AA38="Media",AC38="Mayor"),AND(AA38="Alta",AC38="Moderado"),AND(AA38="Alta",AC38="Mayor"),AND(AA38="Muy Alta",AC38="Leve"),AND(AA38="Muy Alta",AC38="Menor"),AND(AA38="Muy Alta",AC38="Moderado"),AND(AA38="Muy Alta",AC38="Mayor")),"Alto",IF(OR(AND(AA38="Muy Baja",AC38="Catastrófico"),AND(AA38="Baja",AC38="Catastrófico"),AND(AA38="Media",AC38="Catastrófico"),AND(AA38="Alta",AC38="Catastrófico"),AND(AA38="Muy Alta",AC38="Catastrófico")),"Extremo","")))),"")</f>
        <v/>
      </c>
      <c r="AF38" s="118"/>
      <c r="AG38" s="123"/>
      <c r="AH38" s="124"/>
      <c r="AI38" s="125"/>
      <c r="AJ38" s="125"/>
      <c r="AK38" s="123"/>
      <c r="AL38" s="124"/>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row>
    <row r="39" spans="1:70" x14ac:dyDescent="0.3">
      <c r="A39" s="210"/>
      <c r="B39" s="141"/>
      <c r="C39" s="141"/>
      <c r="D39" s="211"/>
      <c r="E39" s="201"/>
      <c r="F39" s="143"/>
      <c r="G39" s="211"/>
      <c r="H39" s="142"/>
      <c r="I39" s="212"/>
      <c r="J39" s="208"/>
      <c r="K39" s="207"/>
      <c r="L39" s="206"/>
      <c r="M39" s="207">
        <f t="shared" ca="1" si="40"/>
        <v>0</v>
      </c>
      <c r="N39" s="208"/>
      <c r="O39" s="207"/>
      <c r="P39" s="209"/>
      <c r="Q39" s="115">
        <v>3</v>
      </c>
      <c r="R39" s="128"/>
      <c r="S39" s="117" t="str">
        <f>IF(OR(T39="Preventivo",T39="Detectivo"),"Probabilidad",IF(T39="Correctivo","Impacto",""))</f>
        <v/>
      </c>
      <c r="T39" s="118"/>
      <c r="U39" s="118"/>
      <c r="V39" s="119" t="str">
        <f t="shared" si="41"/>
        <v/>
      </c>
      <c r="W39" s="118"/>
      <c r="X39" s="118"/>
      <c r="Y39" s="118"/>
      <c r="Z39" s="120" t="str">
        <f>IFERROR(IF(AND(S38="Probabilidad",S39="Probabilidad"),(AB38-(+AB38*V39)),IF(AND(S38="Impacto",S39="Probabilidad"),(AB37-(+AB37*V39)),IF(S39="Impacto",AB38,""))),"")</f>
        <v/>
      </c>
      <c r="AA39" s="121" t="str">
        <f t="shared" si="0"/>
        <v/>
      </c>
      <c r="AB39" s="119" t="str">
        <f t="shared" si="42"/>
        <v/>
      </c>
      <c r="AC39" s="121" t="str">
        <f t="shared" si="2"/>
        <v/>
      </c>
      <c r="AD39" s="119" t="str">
        <f>IFERROR(IF(AND(S38="Impacto",S39="Impacto"),(AD38-(+AD38*V39)),IF(AND(S38="Probabilidad",S39="Impacto"),(AD37-(+AD37*V39)),IF(S39="Probabilidad",AD38,""))),"")</f>
        <v/>
      </c>
      <c r="AE39" s="122" t="str">
        <f t="shared" si="43"/>
        <v/>
      </c>
      <c r="AF39" s="118"/>
      <c r="AG39" s="123"/>
      <c r="AH39" s="124"/>
      <c r="AI39" s="125"/>
      <c r="AJ39" s="125"/>
      <c r="AK39" s="123"/>
      <c r="AL39" s="124"/>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row>
    <row r="40" spans="1:70" x14ac:dyDescent="0.3">
      <c r="A40" s="210"/>
      <c r="B40" s="141"/>
      <c r="C40" s="141"/>
      <c r="D40" s="211"/>
      <c r="E40" s="201"/>
      <c r="F40" s="143"/>
      <c r="G40" s="211"/>
      <c r="H40" s="142"/>
      <c r="I40" s="212"/>
      <c r="J40" s="208"/>
      <c r="K40" s="207"/>
      <c r="L40" s="206"/>
      <c r="M40" s="207">
        <f t="shared" ca="1" si="40"/>
        <v>0</v>
      </c>
      <c r="N40" s="208"/>
      <c r="O40" s="207"/>
      <c r="P40" s="209"/>
      <c r="Q40" s="115">
        <v>4</v>
      </c>
      <c r="R40" s="116"/>
      <c r="S40" s="117" t="str">
        <f t="shared" ref="S40:S42" si="44">IF(OR(T40="Preventivo",T40="Detectivo"),"Probabilidad",IF(T40="Correctivo","Impacto",""))</f>
        <v/>
      </c>
      <c r="T40" s="118"/>
      <c r="U40" s="118"/>
      <c r="V40" s="119" t="str">
        <f t="shared" si="41"/>
        <v/>
      </c>
      <c r="W40" s="118"/>
      <c r="X40" s="118"/>
      <c r="Y40" s="118"/>
      <c r="Z40" s="120" t="str">
        <f t="shared" ref="Z40:Z42" si="45">IFERROR(IF(AND(S39="Probabilidad",S40="Probabilidad"),(AB39-(+AB39*V40)),IF(AND(S39="Impacto",S40="Probabilidad"),(AB38-(+AB38*V40)),IF(S40="Impacto",AB39,""))),"")</f>
        <v/>
      </c>
      <c r="AA40" s="121" t="str">
        <f t="shared" si="0"/>
        <v/>
      </c>
      <c r="AB40" s="119" t="str">
        <f t="shared" si="42"/>
        <v/>
      </c>
      <c r="AC40" s="121" t="str">
        <f t="shared" si="2"/>
        <v/>
      </c>
      <c r="AD40" s="119" t="str">
        <f t="shared" ref="AD40:AD42" si="46">IFERROR(IF(AND(S39="Impacto",S40="Impacto"),(AD39-(+AD39*V40)),IF(AND(S39="Probabilidad",S40="Impacto"),(AD38-(+AD38*V40)),IF(S40="Probabilidad",AD39,""))),"")</f>
        <v/>
      </c>
      <c r="AE40" s="122" t="str">
        <f>IFERROR(IF(OR(AND(AA40="Muy Baja",AC40="Leve"),AND(AA40="Muy Baja",AC40="Menor"),AND(AA40="Baja",AC40="Leve")),"Bajo",IF(OR(AND(AA40="Muy baja",AC40="Moderado"),AND(AA40="Baja",AC40="Menor"),AND(AA40="Baja",AC40="Moderado"),AND(AA40="Media",AC40="Leve"),AND(AA40="Media",AC40="Menor"),AND(AA40="Media",AC40="Moderado"),AND(AA40="Alta",AC40="Leve"),AND(AA40="Alta",AC40="Menor")),"Moderado",IF(OR(AND(AA40="Muy Baja",AC40="Mayor"),AND(AA40="Baja",AC40="Mayor"),AND(AA40="Media",AC40="Mayor"),AND(AA40="Alta",AC40="Moderado"),AND(AA40="Alta",AC40="Mayor"),AND(AA40="Muy Alta",AC40="Leve"),AND(AA40="Muy Alta",AC40="Menor"),AND(AA40="Muy Alta",AC40="Moderado"),AND(AA40="Muy Alta",AC40="Mayor")),"Alto",IF(OR(AND(AA40="Muy Baja",AC40="Catastrófico"),AND(AA40="Baja",AC40="Catastrófico"),AND(AA40="Media",AC40="Catastrófico"),AND(AA40="Alta",AC40="Catastrófico"),AND(AA40="Muy Alta",AC40="Catastrófico")),"Extremo","")))),"")</f>
        <v/>
      </c>
      <c r="AF40" s="118"/>
      <c r="AG40" s="123"/>
      <c r="AH40" s="124"/>
      <c r="AI40" s="125"/>
      <c r="AJ40" s="125"/>
      <c r="AK40" s="123"/>
      <c r="AL40" s="124"/>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row>
    <row r="41" spans="1:70" x14ac:dyDescent="0.3">
      <c r="A41" s="210"/>
      <c r="B41" s="141"/>
      <c r="C41" s="141"/>
      <c r="D41" s="211"/>
      <c r="E41" s="201"/>
      <c r="F41" s="143"/>
      <c r="G41" s="211"/>
      <c r="H41" s="142"/>
      <c r="I41" s="212"/>
      <c r="J41" s="208"/>
      <c r="K41" s="207"/>
      <c r="L41" s="206"/>
      <c r="M41" s="207">
        <f t="shared" ca="1" si="40"/>
        <v>0</v>
      </c>
      <c r="N41" s="208"/>
      <c r="O41" s="207"/>
      <c r="P41" s="209"/>
      <c r="Q41" s="115">
        <v>5</v>
      </c>
      <c r="R41" s="116"/>
      <c r="S41" s="117" t="str">
        <f t="shared" si="44"/>
        <v/>
      </c>
      <c r="T41" s="118"/>
      <c r="U41" s="118"/>
      <c r="V41" s="119" t="str">
        <f t="shared" si="41"/>
        <v/>
      </c>
      <c r="W41" s="118"/>
      <c r="X41" s="118"/>
      <c r="Y41" s="118"/>
      <c r="Z41" s="120" t="str">
        <f t="shared" si="45"/>
        <v/>
      </c>
      <c r="AA41" s="121" t="str">
        <f t="shared" si="0"/>
        <v/>
      </c>
      <c r="AB41" s="119" t="str">
        <f t="shared" si="42"/>
        <v/>
      </c>
      <c r="AC41" s="121" t="str">
        <f t="shared" si="2"/>
        <v/>
      </c>
      <c r="AD41" s="119" t="str">
        <f t="shared" si="46"/>
        <v/>
      </c>
      <c r="AE41" s="122" t="str">
        <f t="shared" ref="AE41" si="47">IFERROR(IF(OR(AND(AA41="Muy Baja",AC41="Leve"),AND(AA41="Muy Baja",AC41="Menor"),AND(AA41="Baja",AC41="Leve")),"Bajo",IF(OR(AND(AA41="Muy baja",AC41="Moderado"),AND(AA41="Baja",AC41="Menor"),AND(AA41="Baja",AC41="Moderado"),AND(AA41="Media",AC41="Leve"),AND(AA41="Media",AC41="Menor"),AND(AA41="Media",AC41="Moderado"),AND(AA41="Alta",AC41="Leve"),AND(AA41="Alta",AC41="Menor")),"Moderado",IF(OR(AND(AA41="Muy Baja",AC41="Mayor"),AND(AA41="Baja",AC41="Mayor"),AND(AA41="Media",AC41="Mayor"),AND(AA41="Alta",AC41="Moderado"),AND(AA41="Alta",AC41="Mayor"),AND(AA41="Muy Alta",AC41="Leve"),AND(AA41="Muy Alta",AC41="Menor"),AND(AA41="Muy Alta",AC41="Moderado"),AND(AA41="Muy Alta",AC41="Mayor")),"Alto",IF(OR(AND(AA41="Muy Baja",AC41="Catastrófico"),AND(AA41="Baja",AC41="Catastrófico"),AND(AA41="Media",AC41="Catastrófico"),AND(AA41="Alta",AC41="Catastrófico"),AND(AA41="Muy Alta",AC41="Catastrófico")),"Extremo","")))),"")</f>
        <v/>
      </c>
      <c r="AF41" s="118"/>
      <c r="AG41" s="123"/>
      <c r="AH41" s="124"/>
      <c r="AI41" s="125"/>
      <c r="AJ41" s="125"/>
      <c r="AK41" s="123"/>
      <c r="AL41" s="124"/>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row>
    <row r="42" spans="1:70" x14ac:dyDescent="0.3">
      <c r="A42" s="210"/>
      <c r="B42" s="141"/>
      <c r="C42" s="141"/>
      <c r="D42" s="211"/>
      <c r="E42" s="201"/>
      <c r="F42" s="143"/>
      <c r="G42" s="211"/>
      <c r="H42" s="142"/>
      <c r="I42" s="212"/>
      <c r="J42" s="208"/>
      <c r="K42" s="207"/>
      <c r="L42" s="206"/>
      <c r="M42" s="207">
        <f t="shared" ca="1" si="40"/>
        <v>0</v>
      </c>
      <c r="N42" s="208"/>
      <c r="O42" s="207"/>
      <c r="P42" s="209"/>
      <c r="Q42" s="115">
        <v>6</v>
      </c>
      <c r="R42" s="116"/>
      <c r="S42" s="117" t="str">
        <f t="shared" si="44"/>
        <v/>
      </c>
      <c r="T42" s="118"/>
      <c r="U42" s="118"/>
      <c r="V42" s="119" t="str">
        <f t="shared" si="41"/>
        <v/>
      </c>
      <c r="W42" s="118"/>
      <c r="X42" s="118"/>
      <c r="Y42" s="118"/>
      <c r="Z42" s="120" t="str">
        <f t="shared" si="45"/>
        <v/>
      </c>
      <c r="AA42" s="121" t="str">
        <f t="shared" si="0"/>
        <v/>
      </c>
      <c r="AB42" s="119" t="str">
        <f t="shared" si="42"/>
        <v/>
      </c>
      <c r="AC42" s="121" t="str">
        <f>IFERROR(IF(AD42="","",IF(AD42&lt;=0.2,"Leve",IF(AD42&lt;=0.4,"Menor",IF(AD42&lt;=0.6,"Moderado",IF(AD42&lt;=0.8,"Mayor","Catastrófico"))))),"")</f>
        <v/>
      </c>
      <c r="AD42" s="119" t="str">
        <f t="shared" si="46"/>
        <v/>
      </c>
      <c r="AE42" s="122" t="str">
        <f>IFERROR(IF(OR(AND(AA42="Muy Baja",AC42="Leve"),AND(AA42="Muy Baja",AC42="Menor"),AND(AA42="Baja",AC42="Leve")),"Bajo",IF(OR(AND(AA42="Muy baja",AC42="Moderado"),AND(AA42="Baja",AC42="Menor"),AND(AA42="Baja",AC42="Moderado"),AND(AA42="Media",AC42="Leve"),AND(AA42="Media",AC42="Menor"),AND(AA42="Media",AC42="Moderado"),AND(AA42="Alta",AC42="Leve"),AND(AA42="Alta",AC42="Menor")),"Moderado",IF(OR(AND(AA42="Muy Baja",AC42="Mayor"),AND(AA42="Baja",AC42="Mayor"),AND(AA42="Media",AC42="Mayor"),AND(AA42="Alta",AC42="Moderado"),AND(AA42="Alta",AC42="Mayor"),AND(AA42="Muy Alta",AC42="Leve"),AND(AA42="Muy Alta",AC42="Menor"),AND(AA42="Muy Alta",AC42="Moderado"),AND(AA42="Muy Alta",AC42="Mayor")),"Alto",IF(OR(AND(AA42="Muy Baja",AC42="Catastrófico"),AND(AA42="Baja",AC42="Catastrófico"),AND(AA42="Media",AC42="Catastrófico"),AND(AA42="Alta",AC42="Catastrófico"),AND(AA42="Muy Alta",AC42="Catastrófico")),"Extremo","")))),"")</f>
        <v/>
      </c>
      <c r="AF42" s="118"/>
      <c r="AG42" s="123"/>
      <c r="AH42" s="124"/>
      <c r="AI42" s="125"/>
      <c r="AJ42" s="125"/>
      <c r="AK42" s="123"/>
      <c r="AL42" s="124"/>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row>
    <row r="43" spans="1:70" x14ac:dyDescent="0.3">
      <c r="A43" s="210">
        <v>7</v>
      </c>
      <c r="B43" s="141"/>
      <c r="C43" s="141"/>
      <c r="D43" s="211"/>
      <c r="E43" s="201"/>
      <c r="F43" s="143"/>
      <c r="G43" s="211"/>
      <c r="H43" s="142"/>
      <c r="I43" s="212"/>
      <c r="J43" s="208" t="str">
        <f>IF(I43&lt;=0,"",IF(I43&lt;=2,"Muy Baja",IF(I43&lt;=24,"Baja",IF(I43&lt;=500,"Media",IF(I43&lt;=5000,"Alta","Muy Alta")))))</f>
        <v/>
      </c>
      <c r="K43" s="207" t="str">
        <f>IF(J43="","",IF(J43="Muy Baja",0.2,IF(J43="Baja",0.4,IF(J43="Media",0.6,IF(J43="Alta",0.8,IF(J43="Muy Alta",1,))))))</f>
        <v/>
      </c>
      <c r="L43" s="206"/>
      <c r="M43" s="207">
        <f ca="1">IF(NOT(ISERROR(MATCH(L43,'Tabla Impacto'!$B$221:$B$223,0))),'Tabla Impacto'!$F$223&amp;"Por favor no seleccionar los criterios de impacto(Afectación Económica o presupuestal y Pérdida Reputacional)",L43)</f>
        <v>0</v>
      </c>
      <c r="N43" s="208" t="str">
        <f ca="1">IF(OR(M43='Tabla Impacto'!$C$11,M43='Tabla Impacto'!$D$11),"Leve",IF(OR(M43='Tabla Impacto'!$C$12,M43='Tabla Impacto'!$D$12),"Menor",IF(OR(M43='Tabla Impacto'!$C$13,M43='Tabla Impacto'!$D$13),"Moderado",IF(OR(M43='Tabla Impacto'!$C$14,M43='Tabla Impacto'!$D$14),"Mayor",IF(OR(M43='Tabla Impacto'!$C$15,M43='Tabla Impacto'!$D$15),"Catastrófico","")))))</f>
        <v/>
      </c>
      <c r="O43" s="207" t="str">
        <f ca="1">IF(N43="","",IF(N43="Leve",0.2,IF(N43="Menor",0.4,IF(N43="Moderado",0.6,IF(N43="Mayor",0.8,IF(N43="Catastrófico",1,))))))</f>
        <v/>
      </c>
      <c r="P43" s="209" t="str">
        <f ca="1">IF(OR(AND(J43="Muy Baja",N43="Leve"),AND(J43="Muy Baja",N43="Menor"),AND(J43="Baja",N43="Leve")),"Bajo",IF(OR(AND(J43="Muy baja",N43="Moderado"),AND(J43="Baja",N43="Menor"),AND(J43="Baja",N43="Moderado"),AND(J43="Media",N43="Leve"),AND(J43="Media",N43="Menor"),AND(J43="Media",N43="Moderado"),AND(J43="Alta",N43="Leve"),AND(J43="Alta",N43="Menor")),"Moderado",IF(OR(AND(J43="Muy Baja",N43="Mayor"),AND(J43="Baja",N43="Mayor"),AND(J43="Media",N43="Mayor"),AND(J43="Alta",N43="Moderado"),AND(J43="Alta",N43="Mayor"),AND(J43="Muy Alta",N43="Leve"),AND(J43="Muy Alta",N43="Menor"),AND(J43="Muy Alta",N43="Moderado"),AND(J43="Muy Alta",N43="Mayor")),"Alto",IF(OR(AND(J43="Muy Baja",N43="Catastrófico"),AND(J43="Baja",N43="Catastrófico"),AND(J43="Media",N43="Catastrófico"),AND(J43="Alta",N43="Catastrófico"),AND(J43="Muy Alta",N43="Catastrófico")),"Extremo",""))))</f>
        <v/>
      </c>
      <c r="Q43" s="115">
        <v>1</v>
      </c>
      <c r="R43" s="116"/>
      <c r="S43" s="117" t="str">
        <f>IF(OR(T43="Preventivo",T43="Detectivo"),"Probabilidad",IF(T43="Correctivo","Impacto",""))</f>
        <v/>
      </c>
      <c r="T43" s="118"/>
      <c r="U43" s="118"/>
      <c r="V43" s="119" t="str">
        <f>IF(AND(T43="Preventivo",U43="Automático"),"50%",IF(AND(T43="Preventivo",U43="Manual"),"40%",IF(AND(T43="Detectivo",U43="Automático"),"40%",IF(AND(T43="Detectivo",U43="Manual"),"30%",IF(AND(T43="Correctivo",U43="Automático"),"35%",IF(AND(T43="Correctivo",U43="Manual"),"25%",""))))))</f>
        <v/>
      </c>
      <c r="W43" s="118"/>
      <c r="X43" s="118"/>
      <c r="Y43" s="118"/>
      <c r="Z43" s="120" t="str">
        <f>IFERROR(IF(S43="Probabilidad",(K43-(+K43*V43)),IF(S43="Impacto",K43,"")),"")</f>
        <v/>
      </c>
      <c r="AA43" s="121" t="str">
        <f>IFERROR(IF(Z43="","",IF(Z43&lt;=0.2,"Muy Baja",IF(Z43&lt;=0.4,"Baja",IF(Z43&lt;=0.6,"Media",IF(Z43&lt;=0.8,"Alta","Muy Alta"))))),"")</f>
        <v/>
      </c>
      <c r="AB43" s="119" t="str">
        <f>+Z43</f>
        <v/>
      </c>
      <c r="AC43" s="121" t="str">
        <f>IFERROR(IF(AD43="","",IF(AD43&lt;=0.2,"Leve",IF(AD43&lt;=0.4,"Menor",IF(AD43&lt;=0.6,"Moderado",IF(AD43&lt;=0.8,"Mayor","Catastrófico"))))),"")</f>
        <v/>
      </c>
      <c r="AD43" s="119" t="str">
        <f>IFERROR(IF(S43="Impacto",(O43-(+O43*V43)),IF(S43="Probabilidad",O43,"")),"")</f>
        <v/>
      </c>
      <c r="AE43" s="122" t="str">
        <f>IFERROR(IF(OR(AND(AA43="Muy Baja",AC43="Leve"),AND(AA43="Muy Baja",AC43="Menor"),AND(AA43="Baja",AC43="Leve")),"Bajo",IF(OR(AND(AA43="Muy baja",AC43="Moderado"),AND(AA43="Baja",AC43="Menor"),AND(AA43="Baja",AC43="Moderado"),AND(AA43="Media",AC43="Leve"),AND(AA43="Media",AC43="Menor"),AND(AA43="Media",AC43="Moderado"),AND(AA43="Alta",AC43="Leve"),AND(AA43="Alta",AC43="Menor")),"Moderado",IF(OR(AND(AA43="Muy Baja",AC43="Mayor"),AND(AA43="Baja",AC43="Mayor"),AND(AA43="Media",AC43="Mayor"),AND(AA43="Alta",AC43="Moderado"),AND(AA43="Alta",AC43="Mayor"),AND(AA43="Muy Alta",AC43="Leve"),AND(AA43="Muy Alta",AC43="Menor"),AND(AA43="Muy Alta",AC43="Moderado"),AND(AA43="Muy Alta",AC43="Mayor")),"Alto",IF(OR(AND(AA43="Muy Baja",AC43="Catastrófico"),AND(AA43="Baja",AC43="Catastrófico"),AND(AA43="Media",AC43="Catastrófico"),AND(AA43="Alta",AC43="Catastrófico"),AND(AA43="Muy Alta",AC43="Catastrófico")),"Extremo","")))),"")</f>
        <v/>
      </c>
      <c r="AF43" s="118"/>
      <c r="AG43" s="123"/>
      <c r="AH43" s="124"/>
      <c r="AI43" s="125"/>
      <c r="AJ43" s="125"/>
      <c r="AK43" s="123"/>
      <c r="AL43" s="124"/>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row>
    <row r="44" spans="1:70" x14ac:dyDescent="0.3">
      <c r="A44" s="210"/>
      <c r="B44" s="141"/>
      <c r="C44" s="141"/>
      <c r="D44" s="211"/>
      <c r="E44" s="201"/>
      <c r="F44" s="143"/>
      <c r="G44" s="211"/>
      <c r="H44" s="142"/>
      <c r="I44" s="212"/>
      <c r="J44" s="208"/>
      <c r="K44" s="207"/>
      <c r="L44" s="206"/>
      <c r="M44" s="207">
        <f t="shared" ref="M44:M48" ca="1" si="48">IF(NOT(ISERROR(MATCH(L44,_xlfn.ANCHORARRAY(E55),0))),K57&amp;"Por favor no seleccionar los criterios de impacto",L44)</f>
        <v>0</v>
      </c>
      <c r="N44" s="208"/>
      <c r="O44" s="207"/>
      <c r="P44" s="209"/>
      <c r="Q44" s="115">
        <v>2</v>
      </c>
      <c r="R44" s="116"/>
      <c r="S44" s="117" t="str">
        <f>IF(OR(T44="Preventivo",T44="Detectivo"),"Probabilidad",IF(T44="Correctivo","Impacto",""))</f>
        <v/>
      </c>
      <c r="T44" s="118"/>
      <c r="U44" s="118"/>
      <c r="V44" s="119" t="str">
        <f t="shared" ref="V44:V48" si="49">IF(AND(T44="Preventivo",U44="Automático"),"50%",IF(AND(T44="Preventivo",U44="Manual"),"40%",IF(AND(T44="Detectivo",U44="Automático"),"40%",IF(AND(T44="Detectivo",U44="Manual"),"30%",IF(AND(T44="Correctivo",U44="Automático"),"35%",IF(AND(T44="Correctivo",U44="Manual"),"25%",""))))))</f>
        <v/>
      </c>
      <c r="W44" s="118"/>
      <c r="X44" s="118"/>
      <c r="Y44" s="118"/>
      <c r="Z44" s="120" t="str">
        <f>IFERROR(IF(AND(S43="Probabilidad",S44="Probabilidad"),(AB43-(+AB43*V44)),IF(S44="Probabilidad",(K43-(+K43*V44)),IF(S44="Impacto",AB43,""))),"")</f>
        <v/>
      </c>
      <c r="AA44" s="121" t="str">
        <f t="shared" si="0"/>
        <v/>
      </c>
      <c r="AB44" s="119" t="str">
        <f t="shared" ref="AB44:AB48" si="50">+Z44</f>
        <v/>
      </c>
      <c r="AC44" s="121" t="str">
        <f t="shared" si="2"/>
        <v/>
      </c>
      <c r="AD44" s="119" t="str">
        <f>IFERROR(IF(AND(S43="Impacto",S44="Impacto"),(AD37-(+AD37*V44)),IF(S44="Impacto",($O$43-(+$O$43*V44)),IF(S44="Probabilidad",AD37,""))),"")</f>
        <v/>
      </c>
      <c r="AE44" s="122" t="str">
        <f t="shared" ref="AE44:AE45" si="51">IFERROR(IF(OR(AND(AA44="Muy Baja",AC44="Leve"),AND(AA44="Muy Baja",AC44="Menor"),AND(AA44="Baja",AC44="Leve")),"Bajo",IF(OR(AND(AA44="Muy baja",AC44="Moderado"),AND(AA44="Baja",AC44="Menor"),AND(AA44="Baja",AC44="Moderado"),AND(AA44="Media",AC44="Leve"),AND(AA44="Media",AC44="Menor"),AND(AA44="Media",AC44="Moderado"),AND(AA44="Alta",AC44="Leve"),AND(AA44="Alta",AC44="Menor")),"Moderado",IF(OR(AND(AA44="Muy Baja",AC44="Mayor"),AND(AA44="Baja",AC44="Mayor"),AND(AA44="Media",AC44="Mayor"),AND(AA44="Alta",AC44="Moderado"),AND(AA44="Alta",AC44="Mayor"),AND(AA44="Muy Alta",AC44="Leve"),AND(AA44="Muy Alta",AC44="Menor"),AND(AA44="Muy Alta",AC44="Moderado"),AND(AA44="Muy Alta",AC44="Mayor")),"Alto",IF(OR(AND(AA44="Muy Baja",AC44="Catastrófico"),AND(AA44="Baja",AC44="Catastrófico"),AND(AA44="Media",AC44="Catastrófico"),AND(AA44="Alta",AC44="Catastrófico"),AND(AA44="Muy Alta",AC44="Catastrófico")),"Extremo","")))),"")</f>
        <v/>
      </c>
      <c r="AF44" s="118"/>
      <c r="AG44" s="123"/>
      <c r="AH44" s="124"/>
      <c r="AI44" s="125"/>
      <c r="AJ44" s="125"/>
      <c r="AK44" s="123"/>
      <c r="AL44" s="124"/>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row>
    <row r="45" spans="1:70" x14ac:dyDescent="0.3">
      <c r="A45" s="210"/>
      <c r="B45" s="141"/>
      <c r="C45" s="141"/>
      <c r="D45" s="211"/>
      <c r="E45" s="201"/>
      <c r="F45" s="143"/>
      <c r="G45" s="211"/>
      <c r="H45" s="142"/>
      <c r="I45" s="212"/>
      <c r="J45" s="208"/>
      <c r="K45" s="207"/>
      <c r="L45" s="206"/>
      <c r="M45" s="207">
        <f t="shared" ca="1" si="48"/>
        <v>0</v>
      </c>
      <c r="N45" s="208"/>
      <c r="O45" s="207"/>
      <c r="P45" s="209"/>
      <c r="Q45" s="115">
        <v>3</v>
      </c>
      <c r="R45" s="128"/>
      <c r="S45" s="117" t="str">
        <f>IF(OR(T45="Preventivo",T45="Detectivo"),"Probabilidad",IF(T45="Correctivo","Impacto",""))</f>
        <v/>
      </c>
      <c r="T45" s="118"/>
      <c r="U45" s="118"/>
      <c r="V45" s="119" t="str">
        <f t="shared" si="49"/>
        <v/>
      </c>
      <c r="W45" s="118"/>
      <c r="X45" s="118"/>
      <c r="Y45" s="118"/>
      <c r="Z45" s="120" t="str">
        <f>IFERROR(IF(AND(S44="Probabilidad",S45="Probabilidad"),(AB44-(+AB44*V45)),IF(AND(S44="Impacto",S45="Probabilidad"),(AB43-(+AB43*V45)),IF(S45="Impacto",AB44,""))),"")</f>
        <v/>
      </c>
      <c r="AA45" s="121" t="str">
        <f t="shared" si="0"/>
        <v/>
      </c>
      <c r="AB45" s="119" t="str">
        <f t="shared" si="50"/>
        <v/>
      </c>
      <c r="AC45" s="121" t="str">
        <f t="shared" si="2"/>
        <v/>
      </c>
      <c r="AD45" s="119" t="str">
        <f>IFERROR(IF(AND(S44="Impacto",S45="Impacto"),(AD44-(+AD44*V45)),IF(AND(S44="Probabilidad",S45="Impacto"),(AD43-(+AD43*V45)),IF(S45="Probabilidad",AD44,""))),"")</f>
        <v/>
      </c>
      <c r="AE45" s="122" t="str">
        <f t="shared" si="51"/>
        <v/>
      </c>
      <c r="AF45" s="118"/>
      <c r="AG45" s="123"/>
      <c r="AH45" s="124"/>
      <c r="AI45" s="125"/>
      <c r="AJ45" s="125"/>
      <c r="AK45" s="123"/>
      <c r="AL45" s="124"/>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row>
    <row r="46" spans="1:70" x14ac:dyDescent="0.3">
      <c r="A46" s="210"/>
      <c r="B46" s="141"/>
      <c r="C46" s="141"/>
      <c r="D46" s="211"/>
      <c r="E46" s="201"/>
      <c r="F46" s="143"/>
      <c r="G46" s="211"/>
      <c r="H46" s="142"/>
      <c r="I46" s="212"/>
      <c r="J46" s="208"/>
      <c r="K46" s="207"/>
      <c r="L46" s="206"/>
      <c r="M46" s="207">
        <f t="shared" ca="1" si="48"/>
        <v>0</v>
      </c>
      <c r="N46" s="208"/>
      <c r="O46" s="207"/>
      <c r="P46" s="209"/>
      <c r="Q46" s="115">
        <v>4</v>
      </c>
      <c r="R46" s="116"/>
      <c r="S46" s="117" t="str">
        <f t="shared" ref="S46:S48" si="52">IF(OR(T46="Preventivo",T46="Detectivo"),"Probabilidad",IF(T46="Correctivo","Impacto",""))</f>
        <v/>
      </c>
      <c r="T46" s="118"/>
      <c r="U46" s="118"/>
      <c r="V46" s="119" t="str">
        <f t="shared" si="49"/>
        <v/>
      </c>
      <c r="W46" s="118"/>
      <c r="X46" s="118"/>
      <c r="Y46" s="118"/>
      <c r="Z46" s="120" t="str">
        <f t="shared" ref="Z46:Z48" si="53">IFERROR(IF(AND(S45="Probabilidad",S46="Probabilidad"),(AB45-(+AB45*V46)),IF(AND(S45="Impacto",S46="Probabilidad"),(AB44-(+AB44*V46)),IF(S46="Impacto",AB45,""))),"")</f>
        <v/>
      </c>
      <c r="AA46" s="121" t="str">
        <f t="shared" si="0"/>
        <v/>
      </c>
      <c r="AB46" s="119" t="str">
        <f t="shared" si="50"/>
        <v/>
      </c>
      <c r="AC46" s="121" t="str">
        <f t="shared" si="2"/>
        <v/>
      </c>
      <c r="AD46" s="119" t="str">
        <f t="shared" ref="AD46:AD48" si="54">IFERROR(IF(AND(S45="Impacto",S46="Impacto"),(AD45-(+AD45*V46)),IF(AND(S45="Probabilidad",S46="Impacto"),(AD44-(+AD44*V46)),IF(S46="Probabilidad",AD45,""))),"")</f>
        <v/>
      </c>
      <c r="AE46" s="122" t="str">
        <f>IFERROR(IF(OR(AND(AA46="Muy Baja",AC46="Leve"),AND(AA46="Muy Baja",AC46="Menor"),AND(AA46="Baja",AC46="Leve")),"Bajo",IF(OR(AND(AA46="Muy baja",AC46="Moderado"),AND(AA46="Baja",AC46="Menor"),AND(AA46="Baja",AC46="Moderado"),AND(AA46="Media",AC46="Leve"),AND(AA46="Media",AC46="Menor"),AND(AA46="Media",AC46="Moderado"),AND(AA46="Alta",AC46="Leve"),AND(AA46="Alta",AC46="Menor")),"Moderado",IF(OR(AND(AA46="Muy Baja",AC46="Mayor"),AND(AA46="Baja",AC46="Mayor"),AND(AA46="Media",AC46="Mayor"),AND(AA46="Alta",AC46="Moderado"),AND(AA46="Alta",AC46="Mayor"),AND(AA46="Muy Alta",AC46="Leve"),AND(AA46="Muy Alta",AC46="Menor"),AND(AA46="Muy Alta",AC46="Moderado"),AND(AA46="Muy Alta",AC46="Mayor")),"Alto",IF(OR(AND(AA46="Muy Baja",AC46="Catastrófico"),AND(AA46="Baja",AC46="Catastrófico"),AND(AA46="Media",AC46="Catastrófico"),AND(AA46="Alta",AC46="Catastrófico"),AND(AA46="Muy Alta",AC46="Catastrófico")),"Extremo","")))),"")</f>
        <v/>
      </c>
      <c r="AF46" s="118"/>
      <c r="AG46" s="123"/>
      <c r="AH46" s="124"/>
      <c r="AI46" s="125"/>
      <c r="AJ46" s="125"/>
      <c r="AK46" s="123"/>
      <c r="AL46" s="124"/>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row>
    <row r="47" spans="1:70" x14ac:dyDescent="0.3">
      <c r="A47" s="210"/>
      <c r="B47" s="141"/>
      <c r="C47" s="141"/>
      <c r="D47" s="211"/>
      <c r="E47" s="201"/>
      <c r="F47" s="143"/>
      <c r="G47" s="211"/>
      <c r="H47" s="142"/>
      <c r="I47" s="212"/>
      <c r="J47" s="208"/>
      <c r="K47" s="207"/>
      <c r="L47" s="206"/>
      <c r="M47" s="207">
        <f t="shared" ca="1" si="48"/>
        <v>0</v>
      </c>
      <c r="N47" s="208"/>
      <c r="O47" s="207"/>
      <c r="P47" s="209"/>
      <c r="Q47" s="115">
        <v>5</v>
      </c>
      <c r="R47" s="116"/>
      <c r="S47" s="117" t="str">
        <f t="shared" si="52"/>
        <v/>
      </c>
      <c r="T47" s="118"/>
      <c r="U47" s="118"/>
      <c r="V47" s="119" t="str">
        <f t="shared" si="49"/>
        <v/>
      </c>
      <c r="W47" s="118"/>
      <c r="X47" s="118"/>
      <c r="Y47" s="118"/>
      <c r="Z47" s="120" t="str">
        <f t="shared" si="53"/>
        <v/>
      </c>
      <c r="AA47" s="121" t="str">
        <f t="shared" si="0"/>
        <v/>
      </c>
      <c r="AB47" s="119" t="str">
        <f t="shared" si="50"/>
        <v/>
      </c>
      <c r="AC47" s="121" t="str">
        <f t="shared" si="2"/>
        <v/>
      </c>
      <c r="AD47" s="119" t="str">
        <f t="shared" si="54"/>
        <v/>
      </c>
      <c r="AE47" s="122" t="str">
        <f t="shared" ref="AE47:AE48" si="55">IFERROR(IF(OR(AND(AA47="Muy Baja",AC47="Leve"),AND(AA47="Muy Baja",AC47="Menor"),AND(AA47="Baja",AC47="Leve")),"Bajo",IF(OR(AND(AA47="Muy baja",AC47="Moderado"),AND(AA47="Baja",AC47="Menor"),AND(AA47="Baja",AC47="Moderado"),AND(AA47="Media",AC47="Leve"),AND(AA47="Media",AC47="Menor"),AND(AA47="Media",AC47="Moderado"),AND(AA47="Alta",AC47="Leve"),AND(AA47="Alta",AC47="Menor")),"Moderado",IF(OR(AND(AA47="Muy Baja",AC47="Mayor"),AND(AA47="Baja",AC47="Mayor"),AND(AA47="Media",AC47="Mayor"),AND(AA47="Alta",AC47="Moderado"),AND(AA47="Alta",AC47="Mayor"),AND(AA47="Muy Alta",AC47="Leve"),AND(AA47="Muy Alta",AC47="Menor"),AND(AA47="Muy Alta",AC47="Moderado"),AND(AA47="Muy Alta",AC47="Mayor")),"Alto",IF(OR(AND(AA47="Muy Baja",AC47="Catastrófico"),AND(AA47="Baja",AC47="Catastrófico"),AND(AA47="Media",AC47="Catastrófico"),AND(AA47="Alta",AC47="Catastrófico"),AND(AA47="Muy Alta",AC47="Catastrófico")),"Extremo","")))),"")</f>
        <v/>
      </c>
      <c r="AF47" s="118"/>
      <c r="AG47" s="123"/>
      <c r="AH47" s="124"/>
      <c r="AI47" s="125"/>
      <c r="AJ47" s="125"/>
      <c r="AK47" s="123"/>
      <c r="AL47" s="124"/>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row>
    <row r="48" spans="1:70" x14ac:dyDescent="0.3">
      <c r="A48" s="210"/>
      <c r="B48" s="141"/>
      <c r="C48" s="141"/>
      <c r="D48" s="211"/>
      <c r="E48" s="201"/>
      <c r="F48" s="143"/>
      <c r="G48" s="211"/>
      <c r="H48" s="142"/>
      <c r="I48" s="212"/>
      <c r="J48" s="208"/>
      <c r="K48" s="207"/>
      <c r="L48" s="206"/>
      <c r="M48" s="207">
        <f t="shared" ca="1" si="48"/>
        <v>0</v>
      </c>
      <c r="N48" s="208"/>
      <c r="O48" s="207"/>
      <c r="P48" s="209"/>
      <c r="Q48" s="115">
        <v>6</v>
      </c>
      <c r="R48" s="116"/>
      <c r="S48" s="117" t="str">
        <f t="shared" si="52"/>
        <v/>
      </c>
      <c r="T48" s="118"/>
      <c r="U48" s="118"/>
      <c r="V48" s="119" t="str">
        <f t="shared" si="49"/>
        <v/>
      </c>
      <c r="W48" s="118"/>
      <c r="X48" s="118"/>
      <c r="Y48" s="118"/>
      <c r="Z48" s="120" t="str">
        <f t="shared" si="53"/>
        <v/>
      </c>
      <c r="AA48" s="121" t="str">
        <f t="shared" si="0"/>
        <v/>
      </c>
      <c r="AB48" s="119" t="str">
        <f t="shared" si="50"/>
        <v/>
      </c>
      <c r="AC48" s="121" t="str">
        <f t="shared" si="2"/>
        <v/>
      </c>
      <c r="AD48" s="119" t="str">
        <f t="shared" si="54"/>
        <v/>
      </c>
      <c r="AE48" s="122" t="str">
        <f t="shared" si="55"/>
        <v/>
      </c>
      <c r="AF48" s="118"/>
      <c r="AG48" s="123"/>
      <c r="AH48" s="124"/>
      <c r="AI48" s="125"/>
      <c r="AJ48" s="125"/>
      <c r="AK48" s="123"/>
      <c r="AL48" s="124"/>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row>
    <row r="49" spans="1:70" x14ac:dyDescent="0.3">
      <c r="A49" s="210">
        <v>8</v>
      </c>
      <c r="B49" s="141"/>
      <c r="C49" s="141"/>
      <c r="D49" s="211"/>
      <c r="E49" s="201"/>
      <c r="F49" s="143"/>
      <c r="G49" s="211"/>
      <c r="H49" s="142"/>
      <c r="I49" s="212"/>
      <c r="J49" s="208" t="str">
        <f>IF(I49&lt;=0,"",IF(I49&lt;=2,"Muy Baja",IF(I49&lt;=24,"Baja",IF(I49&lt;=500,"Media",IF(I49&lt;=5000,"Alta","Muy Alta")))))</f>
        <v/>
      </c>
      <c r="K49" s="207" t="str">
        <f>IF(J49="","",IF(J49="Muy Baja",0.2,IF(J49="Baja",0.4,IF(J49="Media",0.6,IF(J49="Alta",0.8,IF(J49="Muy Alta",1,))))))</f>
        <v/>
      </c>
      <c r="L49" s="206"/>
      <c r="M49" s="207">
        <f ca="1">IF(NOT(ISERROR(MATCH(L49,'Tabla Impacto'!$B$221:$B$223,0))),'Tabla Impacto'!$F$223&amp;"Por favor no seleccionar los criterios de impacto(Afectación Económica o presupuestal y Pérdida Reputacional)",L49)</f>
        <v>0</v>
      </c>
      <c r="N49" s="208" t="str">
        <f ca="1">IF(OR(M49='Tabla Impacto'!$C$11,M49='Tabla Impacto'!$D$11),"Leve",IF(OR(M49='Tabla Impacto'!$C$12,M49='Tabla Impacto'!$D$12),"Menor",IF(OR(M49='Tabla Impacto'!$C$13,M49='Tabla Impacto'!$D$13),"Moderado",IF(OR(M49='Tabla Impacto'!$C$14,M49='Tabla Impacto'!$D$14),"Mayor",IF(OR(M49='Tabla Impacto'!$C$15,M49='Tabla Impacto'!$D$15),"Catastrófico","")))))</f>
        <v/>
      </c>
      <c r="O49" s="207" t="str">
        <f ca="1">IF(N49="","",IF(N49="Leve",0.2,IF(N49="Menor",0.4,IF(N49="Moderado",0.6,IF(N49="Mayor",0.8,IF(N49="Catastrófico",1,))))))</f>
        <v/>
      </c>
      <c r="P49" s="209" t="str">
        <f ca="1">IF(OR(AND(J49="Muy Baja",N49="Leve"),AND(J49="Muy Baja",N49="Menor"),AND(J49="Baja",N49="Leve")),"Bajo",IF(OR(AND(J49="Muy baja",N49="Moderado"),AND(J49="Baja",N49="Menor"),AND(J49="Baja",N49="Moderado"),AND(J49="Media",N49="Leve"),AND(J49="Media",N49="Menor"),AND(J49="Media",N49="Moderado"),AND(J49="Alta",N49="Leve"),AND(J49="Alta",N49="Menor")),"Moderado",IF(OR(AND(J49="Muy Baja",N49="Mayor"),AND(J49="Baja",N49="Mayor"),AND(J49="Media",N49="Mayor"),AND(J49="Alta",N49="Moderado"),AND(J49="Alta",N49="Mayor"),AND(J49="Muy Alta",N49="Leve"),AND(J49="Muy Alta",N49="Menor"),AND(J49="Muy Alta",N49="Moderado"),AND(J49="Muy Alta",N49="Mayor")),"Alto",IF(OR(AND(J49="Muy Baja",N49="Catastrófico"),AND(J49="Baja",N49="Catastrófico"),AND(J49="Media",N49="Catastrófico"),AND(J49="Alta",N49="Catastrófico"),AND(J49="Muy Alta",N49="Catastrófico")),"Extremo",""))))</f>
        <v/>
      </c>
      <c r="Q49" s="115">
        <v>1</v>
      </c>
      <c r="R49" s="116"/>
      <c r="S49" s="117" t="str">
        <f>IF(OR(T49="Preventivo",T49="Detectivo"),"Probabilidad",IF(T49="Correctivo","Impacto",""))</f>
        <v/>
      </c>
      <c r="T49" s="118"/>
      <c r="U49" s="118"/>
      <c r="V49" s="119" t="str">
        <f>IF(AND(T49="Preventivo",U49="Automático"),"50%",IF(AND(T49="Preventivo",U49="Manual"),"40%",IF(AND(T49="Detectivo",U49="Automático"),"40%",IF(AND(T49="Detectivo",U49="Manual"),"30%",IF(AND(T49="Correctivo",U49="Automático"),"35%",IF(AND(T49="Correctivo",U49="Manual"),"25%",""))))))</f>
        <v/>
      </c>
      <c r="W49" s="118"/>
      <c r="X49" s="118"/>
      <c r="Y49" s="118"/>
      <c r="Z49" s="120" t="str">
        <f>IFERROR(IF(S49="Probabilidad",(K49-(+K49*V49)),IF(S49="Impacto",K49,"")),"")</f>
        <v/>
      </c>
      <c r="AA49" s="121" t="str">
        <f>IFERROR(IF(Z49="","",IF(Z49&lt;=0.2,"Muy Baja",IF(Z49&lt;=0.4,"Baja",IF(Z49&lt;=0.6,"Media",IF(Z49&lt;=0.8,"Alta","Muy Alta"))))),"")</f>
        <v/>
      </c>
      <c r="AB49" s="119" t="str">
        <f>+Z49</f>
        <v/>
      </c>
      <c r="AC49" s="121" t="str">
        <f>IFERROR(IF(AD49="","",IF(AD49&lt;=0.2,"Leve",IF(AD49&lt;=0.4,"Menor",IF(AD49&lt;=0.6,"Moderado",IF(AD49&lt;=0.8,"Mayor","Catastrófico"))))),"")</f>
        <v/>
      </c>
      <c r="AD49" s="119" t="str">
        <f>IFERROR(IF(S49="Impacto",(O49-(+O49*V49)),IF(S49="Probabilidad",O49,"")),"")</f>
        <v/>
      </c>
      <c r="AE49" s="122" t="str">
        <f>IFERROR(IF(OR(AND(AA49="Muy Baja",AC49="Leve"),AND(AA49="Muy Baja",AC49="Menor"),AND(AA49="Baja",AC49="Leve")),"Bajo",IF(OR(AND(AA49="Muy baja",AC49="Moderado"),AND(AA49="Baja",AC49="Menor"),AND(AA49="Baja",AC49="Moderado"),AND(AA49="Media",AC49="Leve"),AND(AA49="Media",AC49="Menor"),AND(AA49="Media",AC49="Moderado"),AND(AA49="Alta",AC49="Leve"),AND(AA49="Alta",AC49="Menor")),"Moderado",IF(OR(AND(AA49="Muy Baja",AC49="Mayor"),AND(AA49="Baja",AC49="Mayor"),AND(AA49="Media",AC49="Mayor"),AND(AA49="Alta",AC49="Moderado"),AND(AA49="Alta",AC49="Mayor"),AND(AA49="Muy Alta",AC49="Leve"),AND(AA49="Muy Alta",AC49="Menor"),AND(AA49="Muy Alta",AC49="Moderado"),AND(AA49="Muy Alta",AC49="Mayor")),"Alto",IF(OR(AND(AA49="Muy Baja",AC49="Catastrófico"),AND(AA49="Baja",AC49="Catastrófico"),AND(AA49="Media",AC49="Catastrófico"),AND(AA49="Alta",AC49="Catastrófico"),AND(AA49="Muy Alta",AC49="Catastrófico")),"Extremo","")))),"")</f>
        <v/>
      </c>
      <c r="AF49" s="118"/>
      <c r="AG49" s="123"/>
      <c r="AH49" s="124"/>
      <c r="AI49" s="125"/>
      <c r="AJ49" s="125"/>
      <c r="AK49" s="123"/>
      <c r="AL49" s="124"/>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row>
    <row r="50" spans="1:70" x14ac:dyDescent="0.3">
      <c r="A50" s="210"/>
      <c r="B50" s="141"/>
      <c r="C50" s="141"/>
      <c r="D50" s="211"/>
      <c r="E50" s="201"/>
      <c r="F50" s="143"/>
      <c r="G50" s="211"/>
      <c r="H50" s="142"/>
      <c r="I50" s="212"/>
      <c r="J50" s="208"/>
      <c r="K50" s="207"/>
      <c r="L50" s="206"/>
      <c r="M50" s="207">
        <f ca="1">IF(NOT(ISERROR(MATCH(L50,_xlfn.ANCHORARRAY(E61),0))),K63&amp;"Por favor no seleccionar los criterios de impacto",L50)</f>
        <v>0</v>
      </c>
      <c r="N50" s="208"/>
      <c r="O50" s="207"/>
      <c r="P50" s="209"/>
      <c r="Q50" s="115">
        <v>2</v>
      </c>
      <c r="R50" s="116"/>
      <c r="S50" s="117" t="str">
        <f>IF(OR(T50="Preventivo",T50="Detectivo"),"Probabilidad",IF(T50="Correctivo","Impacto",""))</f>
        <v/>
      </c>
      <c r="T50" s="118"/>
      <c r="U50" s="118"/>
      <c r="V50" s="119" t="str">
        <f t="shared" ref="V50:V54" si="56">IF(AND(T50="Preventivo",U50="Automático"),"50%",IF(AND(T50="Preventivo",U50="Manual"),"40%",IF(AND(T50="Detectivo",U50="Automático"),"40%",IF(AND(T50="Detectivo",U50="Manual"),"30%",IF(AND(T50="Correctivo",U50="Automático"),"35%",IF(AND(T50="Correctivo",U50="Manual"),"25%",""))))))</f>
        <v/>
      </c>
      <c r="W50" s="118"/>
      <c r="X50" s="118"/>
      <c r="Y50" s="118"/>
      <c r="Z50" s="120" t="str">
        <f>IFERROR(IF(AND(S49="Probabilidad",S50="Probabilidad"),(AB49-(+AB49*V50)),IF(S50="Probabilidad",(K49-(+K49*V50)),IF(S50="Impacto",AB49,""))),"")</f>
        <v/>
      </c>
      <c r="AA50" s="121" t="str">
        <f t="shared" si="0"/>
        <v/>
      </c>
      <c r="AB50" s="119" t="str">
        <f t="shared" ref="AB50:AB54" si="57">+Z50</f>
        <v/>
      </c>
      <c r="AC50" s="121" t="str">
        <f t="shared" si="2"/>
        <v/>
      </c>
      <c r="AD50" s="119" t="str">
        <f>IFERROR(IF(AND(S49="Impacto",S50="Impacto"),(AD43-(+AD43*V50)),IF(S50="Impacto",($O$49-(+$O$49*V50)),IF(S50="Probabilidad",AD43,""))),"")</f>
        <v/>
      </c>
      <c r="AE50" s="122" t="str">
        <f t="shared" ref="AE50:AE51" si="58">IFERROR(IF(OR(AND(AA50="Muy Baja",AC50="Leve"),AND(AA50="Muy Baja",AC50="Menor"),AND(AA50="Baja",AC50="Leve")),"Bajo",IF(OR(AND(AA50="Muy baja",AC50="Moderado"),AND(AA50="Baja",AC50="Menor"),AND(AA50="Baja",AC50="Moderado"),AND(AA50="Media",AC50="Leve"),AND(AA50="Media",AC50="Menor"),AND(AA50="Media",AC50="Moderado"),AND(AA50="Alta",AC50="Leve"),AND(AA50="Alta",AC50="Menor")),"Moderado",IF(OR(AND(AA50="Muy Baja",AC50="Mayor"),AND(AA50="Baja",AC50="Mayor"),AND(AA50="Media",AC50="Mayor"),AND(AA50="Alta",AC50="Moderado"),AND(AA50="Alta",AC50="Mayor"),AND(AA50="Muy Alta",AC50="Leve"),AND(AA50="Muy Alta",AC50="Menor"),AND(AA50="Muy Alta",AC50="Moderado"),AND(AA50="Muy Alta",AC50="Mayor")),"Alto",IF(OR(AND(AA50="Muy Baja",AC50="Catastrófico"),AND(AA50="Baja",AC50="Catastrófico"),AND(AA50="Media",AC50="Catastrófico"),AND(AA50="Alta",AC50="Catastrófico"),AND(AA50="Muy Alta",AC50="Catastrófico")),"Extremo","")))),"")</f>
        <v/>
      </c>
      <c r="AF50" s="118"/>
      <c r="AG50" s="123"/>
      <c r="AH50" s="124"/>
      <c r="AI50" s="125"/>
      <c r="AJ50" s="125"/>
      <c r="AK50" s="123"/>
      <c r="AL50" s="124"/>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row>
    <row r="51" spans="1:70" x14ac:dyDescent="0.3">
      <c r="A51" s="210"/>
      <c r="B51" s="141"/>
      <c r="C51" s="141"/>
      <c r="D51" s="211"/>
      <c r="E51" s="201"/>
      <c r="F51" s="143"/>
      <c r="G51" s="211"/>
      <c r="H51" s="142"/>
      <c r="I51" s="212"/>
      <c r="J51" s="208"/>
      <c r="K51" s="207"/>
      <c r="L51" s="206"/>
      <c r="M51" s="207">
        <f ca="1">IF(NOT(ISERROR(MATCH(L51,_xlfn.ANCHORARRAY(E62),0))),K64&amp;"Por favor no seleccionar los criterios de impacto",L51)</f>
        <v>0</v>
      </c>
      <c r="N51" s="208"/>
      <c r="O51" s="207"/>
      <c r="P51" s="209"/>
      <c r="Q51" s="115">
        <v>3</v>
      </c>
      <c r="R51" s="128"/>
      <c r="S51" s="117" t="str">
        <f>IF(OR(T51="Preventivo",T51="Detectivo"),"Probabilidad",IF(T51="Correctivo","Impacto",""))</f>
        <v/>
      </c>
      <c r="T51" s="118"/>
      <c r="U51" s="118"/>
      <c r="V51" s="119" t="str">
        <f t="shared" si="56"/>
        <v/>
      </c>
      <c r="W51" s="118"/>
      <c r="X51" s="118"/>
      <c r="Y51" s="118"/>
      <c r="Z51" s="120" t="str">
        <f>IFERROR(IF(AND(S50="Probabilidad",S51="Probabilidad"),(AB50-(+AB50*V51)),IF(AND(S50="Impacto",S51="Probabilidad"),(AB49-(+AB49*V51)),IF(S51="Impacto",AB50,""))),"")</f>
        <v/>
      </c>
      <c r="AA51" s="121" t="str">
        <f t="shared" si="0"/>
        <v/>
      </c>
      <c r="AB51" s="119" t="str">
        <f t="shared" si="57"/>
        <v/>
      </c>
      <c r="AC51" s="121" t="str">
        <f t="shared" si="2"/>
        <v/>
      </c>
      <c r="AD51" s="119" t="str">
        <f>IFERROR(IF(AND(S50="Impacto",S51="Impacto"),(AD50-(+AD50*V51)),IF(AND(S50="Probabilidad",S51="Impacto"),(AD49-(+AD49*V51)),IF(S51="Probabilidad",AD50,""))),"")</f>
        <v/>
      </c>
      <c r="AE51" s="122" t="str">
        <f t="shared" si="58"/>
        <v/>
      </c>
      <c r="AF51" s="118"/>
      <c r="AG51" s="123"/>
      <c r="AH51" s="124"/>
      <c r="AI51" s="125"/>
      <c r="AJ51" s="125"/>
      <c r="AK51" s="123"/>
      <c r="AL51" s="124"/>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row>
    <row r="52" spans="1:70" x14ac:dyDescent="0.3">
      <c r="A52" s="210"/>
      <c r="B52" s="141"/>
      <c r="C52" s="141"/>
      <c r="D52" s="211"/>
      <c r="E52" s="201"/>
      <c r="F52" s="143"/>
      <c r="G52" s="211"/>
      <c r="H52" s="142"/>
      <c r="I52" s="212"/>
      <c r="J52" s="208"/>
      <c r="K52" s="207"/>
      <c r="L52" s="206"/>
      <c r="M52" s="207">
        <f ca="1">IF(NOT(ISERROR(MATCH(L52,_xlfn.ANCHORARRAY(E63),0))),K65&amp;"Por favor no seleccionar los criterios de impacto",L52)</f>
        <v>0</v>
      </c>
      <c r="N52" s="208"/>
      <c r="O52" s="207"/>
      <c r="P52" s="209"/>
      <c r="Q52" s="115">
        <v>4</v>
      </c>
      <c r="R52" s="116"/>
      <c r="S52" s="117" t="str">
        <f t="shared" ref="S52:S54" si="59">IF(OR(T52="Preventivo",T52="Detectivo"),"Probabilidad",IF(T52="Correctivo","Impacto",""))</f>
        <v/>
      </c>
      <c r="T52" s="118"/>
      <c r="U52" s="118"/>
      <c r="V52" s="119" t="str">
        <f t="shared" si="56"/>
        <v/>
      </c>
      <c r="W52" s="118"/>
      <c r="X52" s="118"/>
      <c r="Y52" s="118"/>
      <c r="Z52" s="120" t="str">
        <f t="shared" ref="Z52:Z54" si="60">IFERROR(IF(AND(S51="Probabilidad",S52="Probabilidad"),(AB51-(+AB51*V52)),IF(AND(S51="Impacto",S52="Probabilidad"),(AB50-(+AB50*V52)),IF(S52="Impacto",AB51,""))),"")</f>
        <v/>
      </c>
      <c r="AA52" s="121" t="str">
        <f t="shared" si="0"/>
        <v/>
      </c>
      <c r="AB52" s="119" t="str">
        <f t="shared" si="57"/>
        <v/>
      </c>
      <c r="AC52" s="121" t="str">
        <f t="shared" si="2"/>
        <v/>
      </c>
      <c r="AD52" s="119" t="str">
        <f t="shared" ref="AD52:AD54" si="61">IFERROR(IF(AND(S51="Impacto",S52="Impacto"),(AD51-(+AD51*V52)),IF(AND(S51="Probabilidad",S52="Impacto"),(AD50-(+AD50*V52)),IF(S52="Probabilidad",AD51,""))),"")</f>
        <v/>
      </c>
      <c r="AE52" s="122" t="str">
        <f>IFERROR(IF(OR(AND(AA52="Muy Baja",AC52="Leve"),AND(AA52="Muy Baja",AC52="Menor"),AND(AA52="Baja",AC52="Leve")),"Bajo",IF(OR(AND(AA52="Muy baja",AC52="Moderado"),AND(AA52="Baja",AC52="Menor"),AND(AA52="Baja",AC52="Moderado"),AND(AA52="Media",AC52="Leve"),AND(AA52="Media",AC52="Menor"),AND(AA52="Media",AC52="Moderado"),AND(AA52="Alta",AC52="Leve"),AND(AA52="Alta",AC52="Menor")),"Moderado",IF(OR(AND(AA52="Muy Baja",AC52="Mayor"),AND(AA52="Baja",AC52="Mayor"),AND(AA52="Media",AC52="Mayor"),AND(AA52="Alta",AC52="Moderado"),AND(AA52="Alta",AC52="Mayor"),AND(AA52="Muy Alta",AC52="Leve"),AND(AA52="Muy Alta",AC52="Menor"),AND(AA52="Muy Alta",AC52="Moderado"),AND(AA52="Muy Alta",AC52="Mayor")),"Alto",IF(OR(AND(AA52="Muy Baja",AC52="Catastrófico"),AND(AA52="Baja",AC52="Catastrófico"),AND(AA52="Media",AC52="Catastrófico"),AND(AA52="Alta",AC52="Catastrófico"),AND(AA52="Muy Alta",AC52="Catastrófico")),"Extremo","")))),"")</f>
        <v/>
      </c>
      <c r="AF52" s="118"/>
      <c r="AG52" s="123"/>
      <c r="AH52" s="124"/>
      <c r="AI52" s="125"/>
      <c r="AJ52" s="125"/>
      <c r="AK52" s="123"/>
      <c r="AL52" s="124"/>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row>
    <row r="53" spans="1:70" x14ac:dyDescent="0.3">
      <c r="A53" s="210"/>
      <c r="B53" s="141"/>
      <c r="C53" s="141"/>
      <c r="D53" s="211"/>
      <c r="E53" s="201"/>
      <c r="F53" s="143"/>
      <c r="G53" s="211"/>
      <c r="H53" s="142"/>
      <c r="I53" s="212"/>
      <c r="J53" s="208"/>
      <c r="K53" s="207"/>
      <c r="L53" s="206"/>
      <c r="M53" s="207">
        <f ca="1">IF(NOT(ISERROR(MATCH(L53,_xlfn.ANCHORARRAY(E64),0))),K66&amp;"Por favor no seleccionar los criterios de impacto",L53)</f>
        <v>0</v>
      </c>
      <c r="N53" s="208"/>
      <c r="O53" s="207"/>
      <c r="P53" s="209"/>
      <c r="Q53" s="115">
        <v>5</v>
      </c>
      <c r="R53" s="116"/>
      <c r="S53" s="117" t="str">
        <f t="shared" si="59"/>
        <v/>
      </c>
      <c r="T53" s="118"/>
      <c r="U53" s="118"/>
      <c r="V53" s="119" t="str">
        <f t="shared" si="56"/>
        <v/>
      </c>
      <c r="W53" s="118"/>
      <c r="X53" s="118"/>
      <c r="Y53" s="118"/>
      <c r="Z53" s="120" t="str">
        <f t="shared" si="60"/>
        <v/>
      </c>
      <c r="AA53" s="121" t="str">
        <f t="shared" si="0"/>
        <v/>
      </c>
      <c r="AB53" s="119" t="str">
        <f t="shared" si="57"/>
        <v/>
      </c>
      <c r="AC53" s="121" t="str">
        <f t="shared" si="2"/>
        <v/>
      </c>
      <c r="AD53" s="119" t="str">
        <f t="shared" si="61"/>
        <v/>
      </c>
      <c r="AE53" s="122" t="str">
        <f t="shared" ref="AE53:AE54" si="62">IFERROR(IF(OR(AND(AA53="Muy Baja",AC53="Leve"),AND(AA53="Muy Baja",AC53="Menor"),AND(AA53="Baja",AC53="Leve")),"Bajo",IF(OR(AND(AA53="Muy baja",AC53="Moderado"),AND(AA53="Baja",AC53="Menor"),AND(AA53="Baja",AC53="Moderado"),AND(AA53="Media",AC53="Leve"),AND(AA53="Media",AC53="Menor"),AND(AA53="Media",AC53="Moderado"),AND(AA53="Alta",AC53="Leve"),AND(AA53="Alta",AC53="Menor")),"Moderado",IF(OR(AND(AA53="Muy Baja",AC53="Mayor"),AND(AA53="Baja",AC53="Mayor"),AND(AA53="Media",AC53="Mayor"),AND(AA53="Alta",AC53="Moderado"),AND(AA53="Alta",AC53="Mayor"),AND(AA53="Muy Alta",AC53="Leve"),AND(AA53="Muy Alta",AC53="Menor"),AND(AA53="Muy Alta",AC53="Moderado"),AND(AA53="Muy Alta",AC53="Mayor")),"Alto",IF(OR(AND(AA53="Muy Baja",AC53="Catastrófico"),AND(AA53="Baja",AC53="Catastrófico"),AND(AA53="Media",AC53="Catastrófico"),AND(AA53="Alta",AC53="Catastrófico"),AND(AA53="Muy Alta",AC53="Catastrófico")),"Extremo","")))),"")</f>
        <v/>
      </c>
      <c r="AF53" s="118"/>
      <c r="AG53" s="123"/>
      <c r="AH53" s="124"/>
      <c r="AI53" s="125"/>
      <c r="AJ53" s="125"/>
      <c r="AK53" s="123"/>
      <c r="AL53" s="124"/>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row>
    <row r="54" spans="1:70" x14ac:dyDescent="0.3">
      <c r="A54" s="210"/>
      <c r="B54" s="141"/>
      <c r="C54" s="141"/>
      <c r="D54" s="211"/>
      <c r="E54" s="201"/>
      <c r="F54" s="143"/>
      <c r="G54" s="211"/>
      <c r="H54" s="142"/>
      <c r="I54" s="212"/>
      <c r="J54" s="208"/>
      <c r="K54" s="207"/>
      <c r="L54" s="206"/>
      <c r="M54" s="207">
        <f ca="1">IF(NOT(ISERROR(MATCH(L54,_xlfn.ANCHORARRAY(E65),0))),K68&amp;"Por favor no seleccionar los criterios de impacto",L54)</f>
        <v>0</v>
      </c>
      <c r="N54" s="208"/>
      <c r="O54" s="207"/>
      <c r="P54" s="209"/>
      <c r="Q54" s="115">
        <v>6</v>
      </c>
      <c r="R54" s="116"/>
      <c r="S54" s="117" t="str">
        <f t="shared" si="59"/>
        <v/>
      </c>
      <c r="T54" s="118"/>
      <c r="U54" s="118"/>
      <c r="V54" s="119" t="str">
        <f t="shared" si="56"/>
        <v/>
      </c>
      <c r="W54" s="118"/>
      <c r="X54" s="118"/>
      <c r="Y54" s="118"/>
      <c r="Z54" s="120" t="str">
        <f t="shared" si="60"/>
        <v/>
      </c>
      <c r="AA54" s="121" t="str">
        <f t="shared" si="0"/>
        <v/>
      </c>
      <c r="AB54" s="119" t="str">
        <f t="shared" si="57"/>
        <v/>
      </c>
      <c r="AC54" s="121" t="str">
        <f t="shared" si="2"/>
        <v/>
      </c>
      <c r="AD54" s="119" t="str">
        <f t="shared" si="61"/>
        <v/>
      </c>
      <c r="AE54" s="122" t="str">
        <f t="shared" si="62"/>
        <v/>
      </c>
      <c r="AF54" s="118"/>
      <c r="AG54" s="123"/>
      <c r="AH54" s="124"/>
      <c r="AI54" s="125"/>
      <c r="AJ54" s="125"/>
      <c r="AK54" s="123"/>
      <c r="AL54" s="124"/>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row>
    <row r="55" spans="1:70" x14ac:dyDescent="0.3">
      <c r="A55" s="210">
        <v>9</v>
      </c>
      <c r="B55" s="141"/>
      <c r="C55" s="141"/>
      <c r="D55" s="211"/>
      <c r="E55" s="201"/>
      <c r="F55" s="143"/>
      <c r="G55" s="211"/>
      <c r="H55" s="142"/>
      <c r="I55" s="212"/>
      <c r="J55" s="208" t="str">
        <f>IF(I55&lt;=0,"",IF(I55&lt;=2,"Muy Baja",IF(I55&lt;=24,"Baja",IF(I55&lt;=500,"Media",IF(I55&lt;=5000,"Alta","Muy Alta")))))</f>
        <v/>
      </c>
      <c r="K55" s="207" t="str">
        <f>IF(J55="","",IF(J55="Muy Baja",0.2,IF(J55="Baja",0.4,IF(J55="Media",0.6,IF(J55="Alta",0.8,IF(J55="Muy Alta",1,))))))</f>
        <v/>
      </c>
      <c r="L55" s="206"/>
      <c r="M55" s="207">
        <f ca="1">IF(NOT(ISERROR(MATCH(L55,'Tabla Impacto'!$B$221:$B$223,0))),'Tabla Impacto'!$F$223&amp;"Por favor no seleccionar los criterios de impacto(Afectación Económica o presupuestal y Pérdida Reputacional)",L55)</f>
        <v>0</v>
      </c>
      <c r="N55" s="208" t="str">
        <f ca="1">IF(OR(M55='Tabla Impacto'!$C$11,M55='Tabla Impacto'!$D$11),"Leve",IF(OR(M55='Tabla Impacto'!$C$12,M55='Tabla Impacto'!$D$12),"Menor",IF(OR(M55='Tabla Impacto'!$C$13,M55='Tabla Impacto'!$D$13),"Moderado",IF(OR(M55='Tabla Impacto'!$C$14,M55='Tabla Impacto'!$D$14),"Mayor",IF(OR(M55='Tabla Impacto'!$C$15,M55='Tabla Impacto'!$D$15),"Catastrófico","")))))</f>
        <v/>
      </c>
      <c r="O55" s="207" t="str">
        <f ca="1">IF(N55="","",IF(N55="Leve",0.2,IF(N55="Menor",0.4,IF(N55="Moderado",0.6,IF(N55="Mayor",0.8,IF(N55="Catastrófico",1,))))))</f>
        <v/>
      </c>
      <c r="P55" s="209" t="str">
        <f ca="1">IF(OR(AND(J55="Muy Baja",N55="Leve"),AND(J55="Muy Baja",N55="Menor"),AND(J55="Baja",N55="Leve")),"Bajo",IF(OR(AND(J55="Muy baja",N55="Moderado"),AND(J55="Baja",N55="Menor"),AND(J55="Baja",N55="Moderado"),AND(J55="Media",N55="Leve"),AND(J55="Media",N55="Menor"),AND(J55="Media",N55="Moderado"),AND(J55="Alta",N55="Leve"),AND(J55="Alta",N55="Menor")),"Moderado",IF(OR(AND(J55="Muy Baja",N55="Mayor"),AND(J55="Baja",N55="Mayor"),AND(J55="Media",N55="Mayor"),AND(J55="Alta",N55="Moderado"),AND(J55="Alta",N55="Mayor"),AND(J55="Muy Alta",N55="Leve"),AND(J55="Muy Alta",N55="Menor"),AND(J55="Muy Alta",N55="Moderado"),AND(J55="Muy Alta",N55="Mayor")),"Alto",IF(OR(AND(J55="Muy Baja",N55="Catastrófico"),AND(J55="Baja",N55="Catastrófico"),AND(J55="Media",N55="Catastrófico"),AND(J55="Alta",N55="Catastrófico"),AND(J55="Muy Alta",N55="Catastrófico")),"Extremo",""))))</f>
        <v/>
      </c>
      <c r="Q55" s="115">
        <v>1</v>
      </c>
      <c r="R55" s="116"/>
      <c r="S55" s="117" t="str">
        <f>IF(OR(T55="Preventivo",T55="Detectivo"),"Probabilidad",IF(T55="Correctivo","Impacto",""))</f>
        <v/>
      </c>
      <c r="T55" s="118"/>
      <c r="U55" s="118"/>
      <c r="V55" s="119" t="str">
        <f>IF(AND(T55="Preventivo",U55="Automático"),"50%",IF(AND(T55="Preventivo",U55="Manual"),"40%",IF(AND(T55="Detectivo",U55="Automático"),"40%",IF(AND(T55="Detectivo",U55="Manual"),"30%",IF(AND(T55="Correctivo",U55="Automático"),"35%",IF(AND(T55="Correctivo",U55="Manual"),"25%",""))))))</f>
        <v/>
      </c>
      <c r="W55" s="118"/>
      <c r="X55" s="118"/>
      <c r="Y55" s="118"/>
      <c r="Z55" s="120" t="str">
        <f>IFERROR(IF(S55="Probabilidad",(K55-(+K55*V55)),IF(S55="Impacto",K55,"")),"")</f>
        <v/>
      </c>
      <c r="AA55" s="121" t="str">
        <f>IFERROR(IF(Z55="","",IF(Z55&lt;=0.2,"Muy Baja",IF(Z55&lt;=0.4,"Baja",IF(Z55&lt;=0.6,"Media",IF(Z55&lt;=0.8,"Alta","Muy Alta"))))),"")</f>
        <v/>
      </c>
      <c r="AB55" s="119" t="str">
        <f>+Z55</f>
        <v/>
      </c>
      <c r="AC55" s="121" t="str">
        <f>IFERROR(IF(AD55="","",IF(AD55&lt;=0.2,"Leve",IF(AD55&lt;=0.4,"Menor",IF(AD55&lt;=0.6,"Moderado",IF(AD55&lt;=0.8,"Mayor","Catastrófico"))))),"")</f>
        <v/>
      </c>
      <c r="AD55" s="119" t="str">
        <f>IFERROR(IF(S55="Impacto",(O55-(+O55*V55)),IF(S55="Probabilidad",O55,"")),"")</f>
        <v/>
      </c>
      <c r="AE55" s="122" t="str">
        <f>IFERROR(IF(OR(AND(AA55="Muy Baja",AC55="Leve"),AND(AA55="Muy Baja",AC55="Menor"),AND(AA55="Baja",AC55="Leve")),"Bajo",IF(OR(AND(AA55="Muy baja",AC55="Moderado"),AND(AA55="Baja",AC55="Menor"),AND(AA55="Baja",AC55="Moderado"),AND(AA55="Media",AC55="Leve"),AND(AA55="Media",AC55="Menor"),AND(AA55="Media",AC55="Moderado"),AND(AA55="Alta",AC55="Leve"),AND(AA55="Alta",AC55="Menor")),"Moderado",IF(OR(AND(AA55="Muy Baja",AC55="Mayor"),AND(AA55="Baja",AC55="Mayor"),AND(AA55="Media",AC55="Mayor"),AND(AA55="Alta",AC55="Moderado"),AND(AA55="Alta",AC55="Mayor"),AND(AA55="Muy Alta",AC55="Leve"),AND(AA55="Muy Alta",AC55="Menor"),AND(AA55="Muy Alta",AC55="Moderado"),AND(AA55="Muy Alta",AC55="Mayor")),"Alto",IF(OR(AND(AA55="Muy Baja",AC55="Catastrófico"),AND(AA55="Baja",AC55="Catastrófico"),AND(AA55="Media",AC55="Catastrófico"),AND(AA55="Alta",AC55="Catastrófico"),AND(AA55="Muy Alta",AC55="Catastrófico")),"Extremo","")))),"")</f>
        <v/>
      </c>
      <c r="AF55" s="118"/>
      <c r="AG55" s="123"/>
      <c r="AH55" s="124"/>
      <c r="AI55" s="125"/>
      <c r="AJ55" s="125"/>
      <c r="AK55" s="123"/>
      <c r="AL55" s="124"/>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row>
    <row r="56" spans="1:70" x14ac:dyDescent="0.3">
      <c r="A56" s="210"/>
      <c r="B56" s="141"/>
      <c r="C56" s="141"/>
      <c r="D56" s="211"/>
      <c r="E56" s="201"/>
      <c r="F56" s="143"/>
      <c r="G56" s="211"/>
      <c r="H56" s="142"/>
      <c r="I56" s="212"/>
      <c r="J56" s="208"/>
      <c r="K56" s="207"/>
      <c r="L56" s="206"/>
      <c r="M56" s="207">
        <f ca="1">IF(NOT(ISERROR(MATCH(L56,_xlfn.ANCHORARRAY(E68),0))),K70&amp;"Por favor no seleccionar los criterios de impacto",L56)</f>
        <v>0</v>
      </c>
      <c r="N56" s="208"/>
      <c r="O56" s="207"/>
      <c r="P56" s="209"/>
      <c r="Q56" s="115">
        <v>2</v>
      </c>
      <c r="R56" s="116"/>
      <c r="S56" s="117" t="str">
        <f>IF(OR(T56="Preventivo",T56="Detectivo"),"Probabilidad",IF(T56="Correctivo","Impacto",""))</f>
        <v/>
      </c>
      <c r="T56" s="118"/>
      <c r="U56" s="118"/>
      <c r="V56" s="119" t="str">
        <f t="shared" ref="V56:V60" si="63">IF(AND(T56="Preventivo",U56="Automático"),"50%",IF(AND(T56="Preventivo",U56="Manual"),"40%",IF(AND(T56="Detectivo",U56="Automático"),"40%",IF(AND(T56="Detectivo",U56="Manual"),"30%",IF(AND(T56="Correctivo",U56="Automático"),"35%",IF(AND(T56="Correctivo",U56="Manual"),"25%",""))))))</f>
        <v/>
      </c>
      <c r="W56" s="118"/>
      <c r="X56" s="118"/>
      <c r="Y56" s="118"/>
      <c r="Z56" s="120" t="str">
        <f>IFERROR(IF(AND(S55="Probabilidad",S56="Probabilidad"),(AB55-(+AB55*V56)),IF(S56="Probabilidad",(K55-(+K55*V56)),IF(S56="Impacto",AB55,""))),"")</f>
        <v/>
      </c>
      <c r="AA56" s="121" t="str">
        <f t="shared" si="0"/>
        <v/>
      </c>
      <c r="AB56" s="119" t="str">
        <f t="shared" ref="AB56:AB60" si="64">+Z56</f>
        <v/>
      </c>
      <c r="AC56" s="121" t="str">
        <f t="shared" si="2"/>
        <v/>
      </c>
      <c r="AD56" s="119" t="str">
        <f>IFERROR(IF(AND(S55="Impacto",S56="Impacto"),(AD49-(+AD49*V56)),IF(S56="Impacto",($O$55-(+$O$55*V56)),IF(S56="Probabilidad",AD49,""))),"")</f>
        <v/>
      </c>
      <c r="AE56" s="122" t="str">
        <f t="shared" ref="AE56:AE57" si="65">IFERROR(IF(OR(AND(AA56="Muy Baja",AC56="Leve"),AND(AA56="Muy Baja",AC56="Menor"),AND(AA56="Baja",AC56="Leve")),"Bajo",IF(OR(AND(AA56="Muy baja",AC56="Moderado"),AND(AA56="Baja",AC56="Menor"),AND(AA56="Baja",AC56="Moderado"),AND(AA56="Media",AC56="Leve"),AND(AA56="Media",AC56="Menor"),AND(AA56="Media",AC56="Moderado"),AND(AA56="Alta",AC56="Leve"),AND(AA56="Alta",AC56="Menor")),"Moderado",IF(OR(AND(AA56="Muy Baja",AC56="Mayor"),AND(AA56="Baja",AC56="Mayor"),AND(AA56="Media",AC56="Mayor"),AND(AA56="Alta",AC56="Moderado"),AND(AA56="Alta",AC56="Mayor"),AND(AA56="Muy Alta",AC56="Leve"),AND(AA56="Muy Alta",AC56="Menor"),AND(AA56="Muy Alta",AC56="Moderado"),AND(AA56="Muy Alta",AC56="Mayor")),"Alto",IF(OR(AND(AA56="Muy Baja",AC56="Catastrófico"),AND(AA56="Baja",AC56="Catastrófico"),AND(AA56="Media",AC56="Catastrófico"),AND(AA56="Alta",AC56="Catastrófico"),AND(AA56="Muy Alta",AC56="Catastrófico")),"Extremo","")))),"")</f>
        <v/>
      </c>
      <c r="AF56" s="118"/>
      <c r="AG56" s="123"/>
      <c r="AH56" s="124"/>
      <c r="AI56" s="125"/>
      <c r="AJ56" s="125"/>
      <c r="AK56" s="123"/>
      <c r="AL56" s="124"/>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row>
    <row r="57" spans="1:70" x14ac:dyDescent="0.3">
      <c r="A57" s="210"/>
      <c r="B57" s="141"/>
      <c r="C57" s="141"/>
      <c r="D57" s="211"/>
      <c r="E57" s="201"/>
      <c r="F57" s="143"/>
      <c r="G57" s="211"/>
      <c r="H57" s="142"/>
      <c r="I57" s="212"/>
      <c r="J57" s="208"/>
      <c r="K57" s="207"/>
      <c r="L57" s="206"/>
      <c r="M57" s="207">
        <f ca="1">IF(NOT(ISERROR(MATCH(L57,_xlfn.ANCHORARRAY(E69),0))),K71&amp;"Por favor no seleccionar los criterios de impacto",L57)</f>
        <v>0</v>
      </c>
      <c r="N57" s="208"/>
      <c r="O57" s="207"/>
      <c r="P57" s="209"/>
      <c r="Q57" s="115">
        <v>3</v>
      </c>
      <c r="R57" s="128"/>
      <c r="S57" s="117" t="str">
        <f>IF(OR(T57="Preventivo",T57="Detectivo"),"Probabilidad",IF(T57="Correctivo","Impacto",""))</f>
        <v/>
      </c>
      <c r="T57" s="118"/>
      <c r="U57" s="118"/>
      <c r="V57" s="119" t="str">
        <f t="shared" si="63"/>
        <v/>
      </c>
      <c r="W57" s="118"/>
      <c r="X57" s="118"/>
      <c r="Y57" s="118"/>
      <c r="Z57" s="120" t="str">
        <f>IFERROR(IF(AND(S56="Probabilidad",S57="Probabilidad"),(AB56-(+AB56*V57)),IF(AND(S56="Impacto",S57="Probabilidad"),(AB55-(+AB55*V57)),IF(S57="Impacto",AB56,""))),"")</f>
        <v/>
      </c>
      <c r="AA57" s="121" t="str">
        <f t="shared" si="0"/>
        <v/>
      </c>
      <c r="AB57" s="119" t="str">
        <f t="shared" si="64"/>
        <v/>
      </c>
      <c r="AC57" s="121" t="str">
        <f t="shared" si="2"/>
        <v/>
      </c>
      <c r="AD57" s="119" t="str">
        <f>IFERROR(IF(AND(S56="Impacto",S57="Impacto"),(AD56-(+AD56*V57)),IF(AND(S56="Probabilidad",S57="Impacto"),(AD55-(+AD55*V57)),IF(S57="Probabilidad",AD56,""))),"")</f>
        <v/>
      </c>
      <c r="AE57" s="122" t="str">
        <f t="shared" si="65"/>
        <v/>
      </c>
      <c r="AF57" s="118"/>
      <c r="AG57" s="123"/>
      <c r="AH57" s="124"/>
      <c r="AI57" s="125"/>
      <c r="AJ57" s="125"/>
      <c r="AK57" s="123"/>
      <c r="AL57" s="124"/>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row>
    <row r="58" spans="1:70" x14ac:dyDescent="0.3">
      <c r="A58" s="210"/>
      <c r="B58" s="141"/>
      <c r="C58" s="141"/>
      <c r="D58" s="211"/>
      <c r="E58" s="201"/>
      <c r="F58" s="143"/>
      <c r="G58" s="211"/>
      <c r="H58" s="142"/>
      <c r="I58" s="212"/>
      <c r="J58" s="208"/>
      <c r="K58" s="207"/>
      <c r="L58" s="206"/>
      <c r="M58" s="207">
        <f ca="1">IF(NOT(ISERROR(MATCH(L58,_xlfn.ANCHORARRAY(E70),0))),K72&amp;"Por favor no seleccionar los criterios de impacto",L58)</f>
        <v>0</v>
      </c>
      <c r="N58" s="208"/>
      <c r="O58" s="207"/>
      <c r="P58" s="209"/>
      <c r="Q58" s="115">
        <v>4</v>
      </c>
      <c r="R58" s="116"/>
      <c r="S58" s="117" t="str">
        <f t="shared" ref="S58:S60" si="66">IF(OR(T58="Preventivo",T58="Detectivo"),"Probabilidad",IF(T58="Correctivo","Impacto",""))</f>
        <v/>
      </c>
      <c r="T58" s="118"/>
      <c r="U58" s="118"/>
      <c r="V58" s="119" t="str">
        <f t="shared" si="63"/>
        <v/>
      </c>
      <c r="W58" s="118"/>
      <c r="X58" s="118"/>
      <c r="Y58" s="118"/>
      <c r="Z58" s="120" t="str">
        <f t="shared" ref="Z58:Z60" si="67">IFERROR(IF(AND(S57="Probabilidad",S58="Probabilidad"),(AB57-(+AB57*V58)),IF(AND(S57="Impacto",S58="Probabilidad"),(AB56-(+AB56*V58)),IF(S58="Impacto",AB57,""))),"")</f>
        <v/>
      </c>
      <c r="AA58" s="121" t="str">
        <f t="shared" si="0"/>
        <v/>
      </c>
      <c r="AB58" s="119" t="str">
        <f t="shared" si="64"/>
        <v/>
      </c>
      <c r="AC58" s="121" t="str">
        <f t="shared" si="2"/>
        <v/>
      </c>
      <c r="AD58" s="119" t="str">
        <f t="shared" ref="AD58:AD60" si="68">IFERROR(IF(AND(S57="Impacto",S58="Impacto"),(AD57-(+AD57*V58)),IF(AND(S57="Probabilidad",S58="Impacto"),(AD56-(+AD56*V58)),IF(S58="Probabilidad",AD57,""))),"")</f>
        <v/>
      </c>
      <c r="AE58" s="122" t="str">
        <f>IFERROR(IF(OR(AND(AA58="Muy Baja",AC58="Leve"),AND(AA58="Muy Baja",AC58="Menor"),AND(AA58="Baja",AC58="Leve")),"Bajo",IF(OR(AND(AA58="Muy baja",AC58="Moderado"),AND(AA58="Baja",AC58="Menor"),AND(AA58="Baja",AC58="Moderado"),AND(AA58="Media",AC58="Leve"),AND(AA58="Media",AC58="Menor"),AND(AA58="Media",AC58="Moderado"),AND(AA58="Alta",AC58="Leve"),AND(AA58="Alta",AC58="Menor")),"Moderado",IF(OR(AND(AA58="Muy Baja",AC58="Mayor"),AND(AA58="Baja",AC58="Mayor"),AND(AA58="Media",AC58="Mayor"),AND(AA58="Alta",AC58="Moderado"),AND(AA58="Alta",AC58="Mayor"),AND(AA58="Muy Alta",AC58="Leve"),AND(AA58="Muy Alta",AC58="Menor"),AND(AA58="Muy Alta",AC58="Moderado"),AND(AA58="Muy Alta",AC58="Mayor")),"Alto",IF(OR(AND(AA58="Muy Baja",AC58="Catastrófico"),AND(AA58="Baja",AC58="Catastrófico"),AND(AA58="Media",AC58="Catastrófico"),AND(AA58="Alta",AC58="Catastrófico"),AND(AA58="Muy Alta",AC58="Catastrófico")),"Extremo","")))),"")</f>
        <v/>
      </c>
      <c r="AF58" s="118"/>
      <c r="AG58" s="123"/>
      <c r="AH58" s="124"/>
      <c r="AI58" s="125"/>
      <c r="AJ58" s="125"/>
      <c r="AK58" s="123"/>
      <c r="AL58" s="124"/>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row>
    <row r="59" spans="1:70" x14ac:dyDescent="0.3">
      <c r="A59" s="210"/>
      <c r="B59" s="141"/>
      <c r="C59" s="141"/>
      <c r="D59" s="211"/>
      <c r="E59" s="201"/>
      <c r="F59" s="143"/>
      <c r="G59" s="211"/>
      <c r="H59" s="142"/>
      <c r="I59" s="212"/>
      <c r="J59" s="208"/>
      <c r="K59" s="207"/>
      <c r="L59" s="206"/>
      <c r="M59" s="207">
        <f ca="1">IF(NOT(ISERROR(MATCH(L59,_xlfn.ANCHORARRAY(E71),0))),K73&amp;"Por favor no seleccionar los criterios de impacto",L59)</f>
        <v>0</v>
      </c>
      <c r="N59" s="208"/>
      <c r="O59" s="207"/>
      <c r="P59" s="209"/>
      <c r="Q59" s="115">
        <v>5</v>
      </c>
      <c r="R59" s="116"/>
      <c r="S59" s="117" t="str">
        <f t="shared" si="66"/>
        <v/>
      </c>
      <c r="T59" s="118"/>
      <c r="U59" s="118"/>
      <c r="V59" s="119" t="str">
        <f t="shared" si="63"/>
        <v/>
      </c>
      <c r="W59" s="118"/>
      <c r="X59" s="118"/>
      <c r="Y59" s="118"/>
      <c r="Z59" s="120" t="str">
        <f t="shared" si="67"/>
        <v/>
      </c>
      <c r="AA59" s="121" t="str">
        <f t="shared" si="0"/>
        <v/>
      </c>
      <c r="AB59" s="119" t="str">
        <f t="shared" si="64"/>
        <v/>
      </c>
      <c r="AC59" s="121" t="str">
        <f t="shared" si="2"/>
        <v/>
      </c>
      <c r="AD59" s="119" t="str">
        <f t="shared" si="68"/>
        <v/>
      </c>
      <c r="AE59" s="122" t="str">
        <f t="shared" ref="AE59:AE60" si="69">IFERROR(IF(OR(AND(AA59="Muy Baja",AC59="Leve"),AND(AA59="Muy Baja",AC59="Menor"),AND(AA59="Baja",AC59="Leve")),"Bajo",IF(OR(AND(AA59="Muy baja",AC59="Moderado"),AND(AA59="Baja",AC59="Menor"),AND(AA59="Baja",AC59="Moderado"),AND(AA59="Media",AC59="Leve"),AND(AA59="Media",AC59="Menor"),AND(AA59="Media",AC59="Moderado"),AND(AA59="Alta",AC59="Leve"),AND(AA59="Alta",AC59="Menor")),"Moderado",IF(OR(AND(AA59="Muy Baja",AC59="Mayor"),AND(AA59="Baja",AC59="Mayor"),AND(AA59="Media",AC59="Mayor"),AND(AA59="Alta",AC59="Moderado"),AND(AA59="Alta",AC59="Mayor"),AND(AA59="Muy Alta",AC59="Leve"),AND(AA59="Muy Alta",AC59="Menor"),AND(AA59="Muy Alta",AC59="Moderado"),AND(AA59="Muy Alta",AC59="Mayor")),"Alto",IF(OR(AND(AA59="Muy Baja",AC59="Catastrófico"),AND(AA59="Baja",AC59="Catastrófico"),AND(AA59="Media",AC59="Catastrófico"),AND(AA59="Alta",AC59="Catastrófico"),AND(AA59="Muy Alta",AC59="Catastrófico")),"Extremo","")))),"")</f>
        <v/>
      </c>
      <c r="AF59" s="118"/>
      <c r="AG59" s="123"/>
      <c r="AH59" s="124"/>
      <c r="AI59" s="125"/>
      <c r="AJ59" s="125"/>
      <c r="AK59" s="123"/>
      <c r="AL59" s="124"/>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row>
    <row r="60" spans="1:70" x14ac:dyDescent="0.3">
      <c r="A60" s="210"/>
      <c r="B60" s="141"/>
      <c r="C60" s="141"/>
      <c r="D60" s="211"/>
      <c r="E60" s="201"/>
      <c r="F60" s="143"/>
      <c r="G60" s="211"/>
      <c r="H60" s="142"/>
      <c r="I60" s="212"/>
      <c r="J60" s="208"/>
      <c r="K60" s="207"/>
      <c r="L60" s="206"/>
      <c r="M60" s="207">
        <f ca="1">IF(NOT(ISERROR(MATCH(L60,_xlfn.ANCHORARRAY(E72),0))),K74&amp;"Por favor no seleccionar los criterios de impacto",L60)</f>
        <v>0</v>
      </c>
      <c r="N60" s="208"/>
      <c r="O60" s="207"/>
      <c r="P60" s="209"/>
      <c r="Q60" s="115">
        <v>6</v>
      </c>
      <c r="R60" s="116"/>
      <c r="S60" s="117" t="str">
        <f t="shared" si="66"/>
        <v/>
      </c>
      <c r="T60" s="118"/>
      <c r="U60" s="118"/>
      <c r="V60" s="119" t="str">
        <f t="shared" si="63"/>
        <v/>
      </c>
      <c r="W60" s="118"/>
      <c r="X60" s="118"/>
      <c r="Y60" s="118"/>
      <c r="Z60" s="120" t="str">
        <f t="shared" si="67"/>
        <v/>
      </c>
      <c r="AA60" s="121" t="str">
        <f t="shared" si="0"/>
        <v/>
      </c>
      <c r="AB60" s="119" t="str">
        <f t="shared" si="64"/>
        <v/>
      </c>
      <c r="AC60" s="121" t="str">
        <f t="shared" si="2"/>
        <v/>
      </c>
      <c r="AD60" s="119" t="str">
        <f t="shared" si="68"/>
        <v/>
      </c>
      <c r="AE60" s="122" t="str">
        <f t="shared" si="69"/>
        <v/>
      </c>
      <c r="AF60" s="118"/>
      <c r="AG60" s="123"/>
      <c r="AH60" s="124"/>
      <c r="AI60" s="125"/>
      <c r="AJ60" s="125"/>
      <c r="AK60" s="123"/>
      <c r="AL60" s="124"/>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row>
    <row r="61" spans="1:70" x14ac:dyDescent="0.3">
      <c r="A61" s="210">
        <v>10</v>
      </c>
      <c r="B61" s="141"/>
      <c r="C61" s="141"/>
      <c r="D61" s="211"/>
      <c r="E61" s="201"/>
      <c r="F61" s="143"/>
      <c r="G61" s="211"/>
      <c r="H61" s="142"/>
      <c r="I61" s="212"/>
      <c r="J61" s="208" t="str">
        <f>IF(I61&lt;=0,"",IF(I61&lt;=2,"Muy Baja",IF(I61&lt;=24,"Baja",IF(I61&lt;=500,"Media",IF(I61&lt;=5000,"Alta","Muy Alta")))))</f>
        <v/>
      </c>
      <c r="K61" s="207" t="str">
        <f>IF(J61="","",IF(J61="Muy Baja",0.2,IF(J61="Baja",0.4,IF(J61="Media",0.6,IF(J61="Alta",0.8,IF(J61="Muy Alta",1,))))))</f>
        <v/>
      </c>
      <c r="L61" s="206"/>
      <c r="M61" s="207">
        <f ca="1">IF(NOT(ISERROR(MATCH(L61,'Tabla Impacto'!$B$221:$B$223,0))),'Tabla Impacto'!$F$223&amp;"Por favor no seleccionar los criterios de impacto(Afectación Económica o presupuestal y Pérdida Reputacional)",L61)</f>
        <v>0</v>
      </c>
      <c r="N61" s="208" t="str">
        <f ca="1">IF(OR(M61='Tabla Impacto'!$C$11,M61='Tabla Impacto'!$D$11),"Leve",IF(OR(M61='Tabla Impacto'!$C$12,M61='Tabla Impacto'!$D$12),"Menor",IF(OR(M61='Tabla Impacto'!$C$13,M61='Tabla Impacto'!$D$13),"Moderado",IF(OR(M61='Tabla Impacto'!$C$14,M61='Tabla Impacto'!$D$14),"Mayor",IF(OR(M61='Tabla Impacto'!$C$15,M61='Tabla Impacto'!$D$15),"Catastrófico","")))))</f>
        <v/>
      </c>
      <c r="O61" s="207" t="str">
        <f ca="1">IF(N61="","",IF(N61="Leve",0.2,IF(N61="Menor",0.4,IF(N61="Moderado",0.6,IF(N61="Mayor",0.8,IF(N61="Catastrófico",1,))))))</f>
        <v/>
      </c>
      <c r="P61" s="209" t="str">
        <f ca="1">IF(OR(AND(J61="Muy Baja",N61="Leve"),AND(J61="Muy Baja",N61="Menor"),AND(J61="Baja",N61="Leve")),"Bajo",IF(OR(AND(J61="Muy baja",N61="Moderado"),AND(J61="Baja",N61="Menor"),AND(J61="Baja",N61="Moderado"),AND(J61="Media",N61="Leve"),AND(J61="Media",N61="Menor"),AND(J61="Media",N61="Moderado"),AND(J61="Alta",N61="Leve"),AND(J61="Alta",N61="Menor")),"Moderado",IF(OR(AND(J61="Muy Baja",N61="Mayor"),AND(J61="Baja",N61="Mayor"),AND(J61="Media",N61="Mayor"),AND(J61="Alta",N61="Moderado"),AND(J61="Alta",N61="Mayor"),AND(J61="Muy Alta",N61="Leve"),AND(J61="Muy Alta",N61="Menor"),AND(J61="Muy Alta",N61="Moderado"),AND(J61="Muy Alta",N61="Mayor")),"Alto",IF(OR(AND(J61="Muy Baja",N61="Catastrófico"),AND(J61="Baja",N61="Catastrófico"),AND(J61="Media",N61="Catastrófico"),AND(J61="Alta",N61="Catastrófico"),AND(J61="Muy Alta",N61="Catastrófico")),"Extremo",""))))</f>
        <v/>
      </c>
      <c r="Q61" s="115">
        <v>1</v>
      </c>
      <c r="R61" s="116"/>
      <c r="S61" s="117" t="str">
        <f>IF(OR(T61="Preventivo",T61="Detectivo"),"Probabilidad",IF(T61="Correctivo","Impacto",""))</f>
        <v/>
      </c>
      <c r="T61" s="118"/>
      <c r="U61" s="118"/>
      <c r="V61" s="119" t="str">
        <f>IF(AND(T61="Preventivo",U61="Automático"),"50%",IF(AND(T61="Preventivo",U61="Manual"),"40%",IF(AND(T61="Detectivo",U61="Automático"),"40%",IF(AND(T61="Detectivo",U61="Manual"),"30%",IF(AND(T61="Correctivo",U61="Automático"),"35%",IF(AND(T61="Correctivo",U61="Manual"),"25%",""))))))</f>
        <v/>
      </c>
      <c r="W61" s="118"/>
      <c r="X61" s="118"/>
      <c r="Y61" s="118"/>
      <c r="Z61" s="120" t="str">
        <f>IFERROR(IF(S61="Probabilidad",(K61-(+K61*V61)),IF(S61="Impacto",K61,"")),"")</f>
        <v/>
      </c>
      <c r="AA61" s="121" t="str">
        <f>IFERROR(IF(Z61="","",IF(Z61&lt;=0.2,"Muy Baja",IF(Z61&lt;=0.4,"Baja",IF(Z61&lt;=0.6,"Media",IF(Z61&lt;=0.8,"Alta","Muy Alta"))))),"")</f>
        <v/>
      </c>
      <c r="AB61" s="119" t="str">
        <f>+Z61</f>
        <v/>
      </c>
      <c r="AC61" s="121" t="str">
        <f>IFERROR(IF(AD61="","",IF(AD61&lt;=0.2,"Leve",IF(AD61&lt;=0.4,"Menor",IF(AD61&lt;=0.6,"Moderado",IF(AD61&lt;=0.8,"Mayor","Catastrófico"))))),"")</f>
        <v/>
      </c>
      <c r="AD61" s="119" t="str">
        <f>IFERROR(IF(S61="Impacto",(O61-(+O61*V61)),IF(S61="Probabilidad",O61,"")),"")</f>
        <v/>
      </c>
      <c r="AE61" s="122" t="str">
        <f>IFERROR(IF(OR(AND(AA61="Muy Baja",AC61="Leve"),AND(AA61="Muy Baja",AC61="Menor"),AND(AA61="Baja",AC61="Leve")),"Bajo",IF(OR(AND(AA61="Muy baja",AC61="Moderado"),AND(AA61="Baja",AC61="Menor"),AND(AA61="Baja",AC61="Moderado"),AND(AA61="Media",AC61="Leve"),AND(AA61="Media",AC61="Menor"),AND(AA61="Media",AC61="Moderado"),AND(AA61="Alta",AC61="Leve"),AND(AA61="Alta",AC61="Menor")),"Moderado",IF(OR(AND(AA61="Muy Baja",AC61="Mayor"),AND(AA61="Baja",AC61="Mayor"),AND(AA61="Media",AC61="Mayor"),AND(AA61="Alta",AC61="Moderado"),AND(AA61="Alta",AC61="Mayor"),AND(AA61="Muy Alta",AC61="Leve"),AND(AA61="Muy Alta",AC61="Menor"),AND(AA61="Muy Alta",AC61="Moderado"),AND(AA61="Muy Alta",AC61="Mayor")),"Alto",IF(OR(AND(AA61="Muy Baja",AC61="Catastrófico"),AND(AA61="Baja",AC61="Catastrófico"),AND(AA61="Media",AC61="Catastrófico"),AND(AA61="Alta",AC61="Catastrófico"),AND(AA61="Muy Alta",AC61="Catastrófico")),"Extremo","")))),"")</f>
        <v/>
      </c>
      <c r="AF61" s="118"/>
      <c r="AG61" s="123"/>
      <c r="AH61" s="124"/>
      <c r="AI61" s="125"/>
      <c r="AJ61" s="125"/>
      <c r="AK61" s="123"/>
      <c r="AL61" s="124"/>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row>
    <row r="62" spans="1:70" x14ac:dyDescent="0.3">
      <c r="A62" s="210"/>
      <c r="B62" s="141"/>
      <c r="C62" s="141"/>
      <c r="D62" s="211"/>
      <c r="E62" s="201"/>
      <c r="F62" s="143"/>
      <c r="G62" s="211"/>
      <c r="H62" s="142"/>
      <c r="I62" s="212"/>
      <c r="J62" s="208"/>
      <c r="K62" s="207"/>
      <c r="L62" s="206"/>
      <c r="M62" s="207">
        <f ca="1">IF(NOT(ISERROR(MATCH(L62,_xlfn.ANCHORARRAY(E74),0))),K76&amp;"Por favor no seleccionar los criterios de impacto",L62)</f>
        <v>0</v>
      </c>
      <c r="N62" s="208"/>
      <c r="O62" s="207"/>
      <c r="P62" s="209"/>
      <c r="Q62" s="115">
        <v>2</v>
      </c>
      <c r="R62" s="116"/>
      <c r="S62" s="117" t="str">
        <f>IF(OR(T62="Preventivo",T62="Detectivo"),"Probabilidad",IF(T62="Correctivo","Impacto",""))</f>
        <v/>
      </c>
      <c r="T62" s="118"/>
      <c r="U62" s="118"/>
      <c r="V62" s="119" t="str">
        <f t="shared" ref="V62:V66" si="70">IF(AND(T62="Preventivo",U62="Automático"),"50%",IF(AND(T62="Preventivo",U62="Manual"),"40%",IF(AND(T62="Detectivo",U62="Automático"),"40%",IF(AND(T62="Detectivo",U62="Manual"),"30%",IF(AND(T62="Correctivo",U62="Automático"),"35%",IF(AND(T62="Correctivo",U62="Manual"),"25%",""))))))</f>
        <v/>
      </c>
      <c r="W62" s="118"/>
      <c r="X62" s="118"/>
      <c r="Y62" s="118"/>
      <c r="Z62" s="120" t="str">
        <f>IFERROR(IF(AND(S61="Probabilidad",S62="Probabilidad"),(AB61-(+AB61*V62)),IF(S62="Probabilidad",(K61-(+K61*V62)),IF(S62="Impacto",AB61,""))),"")</f>
        <v/>
      </c>
      <c r="AA62" s="121" t="str">
        <f t="shared" si="0"/>
        <v/>
      </c>
      <c r="AB62" s="119" t="str">
        <f t="shared" ref="AB62:AB66" si="71">+Z62</f>
        <v/>
      </c>
      <c r="AC62" s="121" t="str">
        <f t="shared" si="2"/>
        <v/>
      </c>
      <c r="AD62" s="119" t="str">
        <f>IFERROR(IF(AND(S61="Impacto",S62="Impacto"),(AD55-(+AD55*V62)),IF(S62="Impacto",($O$61-(+$O$61*V62)),IF(S62="Probabilidad",AD55,""))),"")</f>
        <v/>
      </c>
      <c r="AE62" s="122" t="str">
        <f t="shared" ref="AE62:AE63" si="72">IFERROR(IF(OR(AND(AA62="Muy Baja",AC62="Leve"),AND(AA62="Muy Baja",AC62="Menor"),AND(AA62="Baja",AC62="Leve")),"Bajo",IF(OR(AND(AA62="Muy baja",AC62="Moderado"),AND(AA62="Baja",AC62="Menor"),AND(AA62="Baja",AC62="Moderado"),AND(AA62="Media",AC62="Leve"),AND(AA62="Media",AC62="Menor"),AND(AA62="Media",AC62="Moderado"),AND(AA62="Alta",AC62="Leve"),AND(AA62="Alta",AC62="Menor")),"Moderado",IF(OR(AND(AA62="Muy Baja",AC62="Mayor"),AND(AA62="Baja",AC62="Mayor"),AND(AA62="Media",AC62="Mayor"),AND(AA62="Alta",AC62="Moderado"),AND(AA62="Alta",AC62="Mayor"),AND(AA62="Muy Alta",AC62="Leve"),AND(AA62="Muy Alta",AC62="Menor"),AND(AA62="Muy Alta",AC62="Moderado"),AND(AA62="Muy Alta",AC62="Mayor")),"Alto",IF(OR(AND(AA62="Muy Baja",AC62="Catastrófico"),AND(AA62="Baja",AC62="Catastrófico"),AND(AA62="Media",AC62="Catastrófico"),AND(AA62="Alta",AC62="Catastrófico"),AND(AA62="Muy Alta",AC62="Catastrófico")),"Extremo","")))),"")</f>
        <v/>
      </c>
      <c r="AF62" s="118"/>
      <c r="AG62" s="123"/>
      <c r="AH62" s="124"/>
      <c r="AI62" s="125"/>
      <c r="AJ62" s="125"/>
      <c r="AK62" s="123"/>
      <c r="AL62" s="124"/>
    </row>
    <row r="63" spans="1:70" x14ac:dyDescent="0.3">
      <c r="A63" s="210"/>
      <c r="B63" s="141"/>
      <c r="C63" s="141"/>
      <c r="D63" s="211"/>
      <c r="E63" s="201"/>
      <c r="F63" s="143"/>
      <c r="G63" s="211"/>
      <c r="H63" s="142"/>
      <c r="I63" s="212"/>
      <c r="J63" s="208"/>
      <c r="K63" s="207"/>
      <c r="L63" s="206"/>
      <c r="M63" s="207">
        <f ca="1">IF(NOT(ISERROR(MATCH(L63,_xlfn.ANCHORARRAY(E75),0))),K77&amp;"Por favor no seleccionar los criterios de impacto",L63)</f>
        <v>0</v>
      </c>
      <c r="N63" s="208"/>
      <c r="O63" s="207"/>
      <c r="P63" s="209"/>
      <c r="Q63" s="115">
        <v>3</v>
      </c>
      <c r="R63" s="128"/>
      <c r="S63" s="117" t="str">
        <f>IF(OR(T63="Preventivo",T63="Detectivo"),"Probabilidad",IF(T63="Correctivo","Impacto",""))</f>
        <v/>
      </c>
      <c r="T63" s="118"/>
      <c r="U63" s="118"/>
      <c r="V63" s="119" t="str">
        <f t="shared" si="70"/>
        <v/>
      </c>
      <c r="W63" s="118"/>
      <c r="X63" s="118"/>
      <c r="Y63" s="118"/>
      <c r="Z63" s="120" t="str">
        <f>IFERROR(IF(AND(S62="Probabilidad",S63="Probabilidad"),(AB62-(+AB62*V63)),IF(AND(S62="Impacto",S63="Probabilidad"),(AB61-(+AB61*V63)),IF(S63="Impacto",AB62,""))),"")</f>
        <v/>
      </c>
      <c r="AA63" s="121" t="str">
        <f t="shared" si="0"/>
        <v/>
      </c>
      <c r="AB63" s="119" t="str">
        <f t="shared" si="71"/>
        <v/>
      </c>
      <c r="AC63" s="121" t="str">
        <f t="shared" si="2"/>
        <v/>
      </c>
      <c r="AD63" s="119" t="str">
        <f>IFERROR(IF(AND(S62="Impacto",S63="Impacto"),(AD62-(+AD62*V63)),IF(AND(S62="Probabilidad",S63="Impacto"),(AD61-(+AD61*V63)),IF(S63="Probabilidad",AD62,""))),"")</f>
        <v/>
      </c>
      <c r="AE63" s="122" t="str">
        <f t="shared" si="72"/>
        <v/>
      </c>
      <c r="AF63" s="118"/>
      <c r="AG63" s="123"/>
      <c r="AH63" s="124"/>
      <c r="AI63" s="125"/>
      <c r="AJ63" s="125"/>
      <c r="AK63" s="123"/>
      <c r="AL63" s="124"/>
    </row>
    <row r="64" spans="1:70" x14ac:dyDescent="0.3">
      <c r="A64" s="210"/>
      <c r="B64" s="141"/>
      <c r="C64" s="141"/>
      <c r="D64" s="211"/>
      <c r="E64" s="201"/>
      <c r="F64" s="143"/>
      <c r="G64" s="211"/>
      <c r="H64" s="142"/>
      <c r="I64" s="212"/>
      <c r="J64" s="208"/>
      <c r="K64" s="207"/>
      <c r="L64" s="206"/>
      <c r="M64" s="207">
        <f ca="1">IF(NOT(ISERROR(MATCH(L64,_xlfn.ANCHORARRAY(E76),0))),K78&amp;"Por favor no seleccionar los criterios de impacto",L64)</f>
        <v>0</v>
      </c>
      <c r="N64" s="208"/>
      <c r="O64" s="207"/>
      <c r="P64" s="209"/>
      <c r="Q64" s="115">
        <v>4</v>
      </c>
      <c r="R64" s="116"/>
      <c r="S64" s="117" t="str">
        <f t="shared" ref="S64:S66" si="73">IF(OR(T64="Preventivo",T64="Detectivo"),"Probabilidad",IF(T64="Correctivo","Impacto",""))</f>
        <v/>
      </c>
      <c r="T64" s="118"/>
      <c r="U64" s="118"/>
      <c r="V64" s="119" t="str">
        <f t="shared" si="70"/>
        <v/>
      </c>
      <c r="W64" s="118"/>
      <c r="X64" s="118"/>
      <c r="Y64" s="118"/>
      <c r="Z64" s="120" t="str">
        <f t="shared" ref="Z64:Z66" si="74">IFERROR(IF(AND(S63="Probabilidad",S64="Probabilidad"),(AB63-(+AB63*V64)),IF(AND(S63="Impacto",S64="Probabilidad"),(AB62-(+AB62*V64)),IF(S64="Impacto",AB63,""))),"")</f>
        <v/>
      </c>
      <c r="AA64" s="121" t="str">
        <f t="shared" si="0"/>
        <v/>
      </c>
      <c r="AB64" s="119" t="str">
        <f t="shared" si="71"/>
        <v/>
      </c>
      <c r="AC64" s="121" t="str">
        <f t="shared" si="2"/>
        <v/>
      </c>
      <c r="AD64" s="119" t="str">
        <f t="shared" ref="AD64:AD66" si="75">IFERROR(IF(AND(S63="Impacto",S64="Impacto"),(AD63-(+AD63*V64)),IF(AND(S63="Probabilidad",S64="Impacto"),(AD62-(+AD62*V64)),IF(S64="Probabilidad",AD63,""))),"")</f>
        <v/>
      </c>
      <c r="AE64" s="122" t="str">
        <f>IFERROR(IF(OR(AND(AA64="Muy Baja",AC64="Leve"),AND(AA64="Muy Baja",AC64="Menor"),AND(AA64="Baja",AC64="Leve")),"Bajo",IF(OR(AND(AA64="Muy baja",AC64="Moderado"),AND(AA64="Baja",AC64="Menor"),AND(AA64="Baja",AC64="Moderado"),AND(AA64="Media",AC64="Leve"),AND(AA64="Media",AC64="Menor"),AND(AA64="Media",AC64="Moderado"),AND(AA64="Alta",AC64="Leve"),AND(AA64="Alta",AC64="Menor")),"Moderado",IF(OR(AND(AA64="Muy Baja",AC64="Mayor"),AND(AA64="Baja",AC64="Mayor"),AND(AA64="Media",AC64="Mayor"),AND(AA64="Alta",AC64="Moderado"),AND(AA64="Alta",AC64="Mayor"),AND(AA64="Muy Alta",AC64="Leve"),AND(AA64="Muy Alta",AC64="Menor"),AND(AA64="Muy Alta",AC64="Moderado"),AND(AA64="Muy Alta",AC64="Mayor")),"Alto",IF(OR(AND(AA64="Muy Baja",AC64="Catastrófico"),AND(AA64="Baja",AC64="Catastrófico"),AND(AA64="Media",AC64="Catastrófico"),AND(AA64="Alta",AC64="Catastrófico"),AND(AA64="Muy Alta",AC64="Catastrófico")),"Extremo","")))),"")</f>
        <v/>
      </c>
      <c r="AF64" s="118"/>
      <c r="AG64" s="123"/>
      <c r="AH64" s="124"/>
      <c r="AI64" s="125"/>
      <c r="AJ64" s="125"/>
      <c r="AK64" s="123"/>
      <c r="AL64" s="124"/>
    </row>
    <row r="65" spans="1:38" x14ac:dyDescent="0.3">
      <c r="A65" s="210"/>
      <c r="B65" s="141"/>
      <c r="C65" s="141"/>
      <c r="D65" s="211"/>
      <c r="E65" s="201"/>
      <c r="F65" s="143"/>
      <c r="G65" s="211"/>
      <c r="H65" s="142"/>
      <c r="I65" s="212"/>
      <c r="J65" s="208"/>
      <c r="K65" s="207"/>
      <c r="L65" s="206"/>
      <c r="M65" s="207">
        <f ca="1">IF(NOT(ISERROR(MATCH(L65,_xlfn.ANCHORARRAY(E77),0))),K79&amp;"Por favor no seleccionar los criterios de impacto",L65)</f>
        <v>0</v>
      </c>
      <c r="N65" s="208"/>
      <c r="O65" s="207"/>
      <c r="P65" s="209"/>
      <c r="Q65" s="115">
        <v>5</v>
      </c>
      <c r="R65" s="116"/>
      <c r="S65" s="117" t="str">
        <f t="shared" si="73"/>
        <v/>
      </c>
      <c r="T65" s="118"/>
      <c r="U65" s="118"/>
      <c r="V65" s="119" t="str">
        <f t="shared" si="70"/>
        <v/>
      </c>
      <c r="W65" s="118"/>
      <c r="X65" s="118"/>
      <c r="Y65" s="118"/>
      <c r="Z65" s="120" t="str">
        <f t="shared" si="74"/>
        <v/>
      </c>
      <c r="AA65" s="121" t="str">
        <f t="shared" si="0"/>
        <v/>
      </c>
      <c r="AB65" s="119" t="str">
        <f t="shared" si="71"/>
        <v/>
      </c>
      <c r="AC65" s="121" t="str">
        <f t="shared" si="2"/>
        <v/>
      </c>
      <c r="AD65" s="119" t="str">
        <f t="shared" si="75"/>
        <v/>
      </c>
      <c r="AE65" s="122" t="str">
        <f t="shared" ref="AE65:AE66" si="76">IFERROR(IF(OR(AND(AA65="Muy Baja",AC65="Leve"),AND(AA65="Muy Baja",AC65="Menor"),AND(AA65="Baja",AC65="Leve")),"Bajo",IF(OR(AND(AA65="Muy baja",AC65="Moderado"),AND(AA65="Baja",AC65="Menor"),AND(AA65="Baja",AC65="Moderado"),AND(AA65="Media",AC65="Leve"),AND(AA65="Media",AC65="Menor"),AND(AA65="Media",AC65="Moderado"),AND(AA65="Alta",AC65="Leve"),AND(AA65="Alta",AC65="Menor")),"Moderado",IF(OR(AND(AA65="Muy Baja",AC65="Mayor"),AND(AA65="Baja",AC65="Mayor"),AND(AA65="Media",AC65="Mayor"),AND(AA65="Alta",AC65="Moderado"),AND(AA65="Alta",AC65="Mayor"),AND(AA65="Muy Alta",AC65="Leve"),AND(AA65="Muy Alta",AC65="Menor"),AND(AA65="Muy Alta",AC65="Moderado"),AND(AA65="Muy Alta",AC65="Mayor")),"Alto",IF(OR(AND(AA65="Muy Baja",AC65="Catastrófico"),AND(AA65="Baja",AC65="Catastrófico"),AND(AA65="Media",AC65="Catastrófico"),AND(AA65="Alta",AC65="Catastrófico"),AND(AA65="Muy Alta",AC65="Catastrófico")),"Extremo","")))),"")</f>
        <v/>
      </c>
      <c r="AF65" s="118"/>
      <c r="AG65" s="123"/>
      <c r="AH65" s="124"/>
      <c r="AI65" s="125"/>
      <c r="AJ65" s="125"/>
      <c r="AK65" s="123"/>
      <c r="AL65" s="124"/>
    </row>
    <row r="66" spans="1:38" x14ac:dyDescent="0.3">
      <c r="A66" s="210"/>
      <c r="B66" s="141"/>
      <c r="C66" s="141"/>
      <c r="D66" s="211"/>
      <c r="E66" s="201"/>
      <c r="F66" s="143"/>
      <c r="G66" s="211"/>
      <c r="H66" s="142"/>
      <c r="I66" s="212"/>
      <c r="J66" s="208"/>
      <c r="K66" s="207"/>
      <c r="L66" s="206"/>
      <c r="M66" s="207">
        <f ca="1">IF(NOT(ISERROR(MATCH(L66,_xlfn.ANCHORARRAY(E78),0))),K80&amp;"Por favor no seleccionar los criterios de impacto",L66)</f>
        <v>0</v>
      </c>
      <c r="N66" s="208"/>
      <c r="O66" s="207"/>
      <c r="P66" s="209"/>
      <c r="Q66" s="115">
        <v>6</v>
      </c>
      <c r="R66" s="116"/>
      <c r="S66" s="117" t="str">
        <f t="shared" si="73"/>
        <v/>
      </c>
      <c r="T66" s="118"/>
      <c r="U66" s="118"/>
      <c r="V66" s="119" t="str">
        <f t="shared" si="70"/>
        <v/>
      </c>
      <c r="W66" s="118"/>
      <c r="X66" s="118"/>
      <c r="Y66" s="118"/>
      <c r="Z66" s="120" t="str">
        <f t="shared" si="74"/>
        <v/>
      </c>
      <c r="AA66" s="121" t="str">
        <f t="shared" si="0"/>
        <v/>
      </c>
      <c r="AB66" s="119" t="str">
        <f t="shared" si="71"/>
        <v/>
      </c>
      <c r="AC66" s="121" t="str">
        <f t="shared" si="2"/>
        <v/>
      </c>
      <c r="AD66" s="119" t="str">
        <f t="shared" si="75"/>
        <v/>
      </c>
      <c r="AE66" s="122" t="str">
        <f t="shared" si="76"/>
        <v/>
      </c>
      <c r="AF66" s="118"/>
      <c r="AG66" s="123"/>
      <c r="AH66" s="124"/>
      <c r="AI66" s="125"/>
      <c r="AJ66" s="125"/>
      <c r="AK66" s="123"/>
      <c r="AL66" s="124"/>
    </row>
    <row r="67" spans="1:38" x14ac:dyDescent="0.3">
      <c r="A67" s="210">
        <v>1</v>
      </c>
      <c r="B67" s="141"/>
      <c r="C67" s="141"/>
      <c r="D67" s="211"/>
      <c r="E67" s="201"/>
      <c r="F67" s="143"/>
      <c r="G67" s="211"/>
      <c r="H67" s="142"/>
      <c r="I67" s="212"/>
      <c r="J67" s="208" t="str">
        <f>IF(I67&lt;=0,"",IF(I67&lt;=2,"Muy Baja",IF(I67&lt;=24,"Baja",IF(I67&lt;=500,"Media",IF(I67&lt;=5000,"Alta","Muy Alta")))))</f>
        <v/>
      </c>
      <c r="K67" s="207" t="str">
        <f>IF(J67="","",IF(J67="Muy Baja",0.2,IF(J67="Baja",0.4,IF(J67="Media",0.6,IF(J67="Alta",0.8,IF(J67="Muy Alta",1,))))))</f>
        <v/>
      </c>
      <c r="L67" s="206"/>
      <c r="M67" s="207">
        <f ca="1">IF(NOT(ISERROR(MATCH(L67,'Tabla Impacto'!$B$221:$B$223,0))),'Tabla Impacto'!$F$223&amp;"Por favor no seleccionar los criterios de impacto(Afectación Económica o presupuestal y Pérdida Reputacional)",L67)</f>
        <v>0</v>
      </c>
      <c r="N67" s="208" t="str">
        <f ca="1">IF(OR(M67='Tabla Impacto'!$C$11,M67='Tabla Impacto'!$D$11),"Leve",IF(OR(M67='Tabla Impacto'!$C$12,M67='Tabla Impacto'!$D$12),"Menor",IF(OR(M67='Tabla Impacto'!$C$13,M67='Tabla Impacto'!$D$13),"Moderado",IF(OR(M67='Tabla Impacto'!$C$14,M67='Tabla Impacto'!$D$14),"Mayor",IF(OR(M67='Tabla Impacto'!$C$15,M67='Tabla Impacto'!$D$15),"Catastrófico","")))))</f>
        <v/>
      </c>
      <c r="O67" s="207" t="str">
        <f ca="1">IF(N67="","",IF(N67="Leve",0.2,IF(N67="Menor",0.4,IF(N67="Moderado",0.6,IF(N67="Mayor",0.8,IF(N67="Catastrófico",1,))))))</f>
        <v/>
      </c>
      <c r="P67" s="209" t="str">
        <f ca="1">IF(OR(AND(J67="Muy Baja",N67="Leve"),AND(J67="Muy Baja",N67="Menor"),AND(J67="Baja",N67="Leve")),"Bajo",IF(OR(AND(J67="Muy baja",N67="Moderado"),AND(J67="Baja",N67="Menor"),AND(J67="Baja",N67="Moderado"),AND(J67="Media",N67="Leve"),AND(J67="Media",N67="Menor"),AND(J67="Media",N67="Moderado"),AND(J67="Alta",N67="Leve"),AND(J67="Alta",N67="Menor")),"Moderado",IF(OR(AND(J67="Muy Baja",N67="Mayor"),AND(J67="Baja",N67="Mayor"),AND(J67="Media",N67="Mayor"),AND(J67="Alta",N67="Moderado"),AND(J67="Alta",N67="Mayor"),AND(J67="Muy Alta",N67="Leve"),AND(J67="Muy Alta",N67="Menor"),AND(J67="Muy Alta",N67="Moderado"),AND(J67="Muy Alta",N67="Mayor")),"Alto",IF(OR(AND(J67="Muy Baja",N67="Catastrófico"),AND(J67="Baja",N67="Catastrófico"),AND(J67="Media",N67="Catastrófico"),AND(J67="Alta",N67="Catastrófico"),AND(J67="Muy Alta",N67="Catastrófico")),"Extremo",""))))</f>
        <v/>
      </c>
      <c r="Q67" s="115">
        <v>1</v>
      </c>
      <c r="R67" s="116"/>
      <c r="S67" s="117" t="str">
        <f>IF(OR(T67="Preventivo",T67="Detectivo"),"Probabilidad",IF(T67="Correctivo","Impacto",""))</f>
        <v/>
      </c>
      <c r="T67" s="118"/>
      <c r="U67" s="118"/>
      <c r="V67" s="119" t="str">
        <f>IF(AND(T67="Preventivo",U67="Automático"),"50%",IF(AND(T67="Preventivo",U67="Manual"),"40%",IF(AND(T67="Detectivo",U67="Automático"),"40%",IF(AND(T67="Detectivo",U67="Manual"),"30%",IF(AND(T67="Correctivo",U67="Automático"),"35%",IF(AND(T67="Correctivo",U67="Manual"),"25%",""))))))</f>
        <v/>
      </c>
      <c r="W67" s="118"/>
      <c r="X67" s="118"/>
      <c r="Y67" s="118"/>
      <c r="Z67" s="120" t="str">
        <f>IFERROR(IF(S67="Probabilidad",(K67-(+K67*V67)),IF(S67="Impacto",K67,"")),"")</f>
        <v/>
      </c>
      <c r="AA67" s="121" t="str">
        <f>IFERROR(IF(Z67="","",IF(Z67&lt;=0.2,"Muy Baja",IF(Z67&lt;=0.4,"Baja",IF(Z67&lt;=0.6,"Media",IF(Z67&lt;=0.8,"Alta","Muy Alta"))))),"")</f>
        <v/>
      </c>
      <c r="AB67" s="119" t="str">
        <f>+Z67</f>
        <v/>
      </c>
      <c r="AC67" s="121" t="str">
        <f>IFERROR(IF(AD67="","",IF(AD67&lt;=0.2,"Leve",IF(AD67&lt;=0.4,"Menor",IF(AD67&lt;=0.6,"Moderado",IF(AD67&lt;=0.8,"Mayor","Catastrófico"))))),"")</f>
        <v/>
      </c>
      <c r="AD67" s="119" t="str">
        <f>IFERROR(IF(S67="Impacto",(O67-(+O67*V67)),IF(S67="Probabilidad",O67,"")),"")</f>
        <v/>
      </c>
      <c r="AE67" s="122" t="str">
        <f>IFERROR(IF(OR(AND(AA67="Muy Baja",AC67="Leve"),AND(AA67="Muy Baja",AC67="Menor"),AND(AA67="Baja",AC67="Leve")),"Bajo",IF(OR(AND(AA67="Muy baja",AC67="Moderado"),AND(AA67="Baja",AC67="Menor"),AND(AA67="Baja",AC67="Moderado"),AND(AA67="Media",AC67="Leve"),AND(AA67="Media",AC67="Menor"),AND(AA67="Media",AC67="Moderado"),AND(AA67="Alta",AC67="Leve"),AND(AA67="Alta",AC67="Menor")),"Moderado",IF(OR(AND(AA67="Muy Baja",AC67="Mayor"),AND(AA67="Baja",AC67="Mayor"),AND(AA67="Media",AC67="Mayor"),AND(AA67="Alta",AC67="Moderado"),AND(AA67="Alta",AC67="Mayor"),AND(AA67="Muy Alta",AC67="Leve"),AND(AA67="Muy Alta",AC67="Menor"),AND(AA67="Muy Alta",AC67="Moderado"),AND(AA67="Muy Alta",AC67="Mayor")),"Alto",IF(OR(AND(AA67="Muy Baja",AC67="Catastrófico"),AND(AA67="Baja",AC67="Catastrófico"),AND(AA67="Media",AC67="Catastrófico"),AND(AA67="Alta",AC67="Catastrófico"),AND(AA67="Muy Alta",AC67="Catastrófico")),"Extremo","")))),"")</f>
        <v/>
      </c>
      <c r="AF67" s="118"/>
      <c r="AG67" s="123"/>
      <c r="AH67" s="124"/>
      <c r="AI67" s="125"/>
      <c r="AJ67" s="125"/>
      <c r="AK67" s="123"/>
      <c r="AL67" s="124"/>
    </row>
    <row r="68" spans="1:38" ht="49.5" customHeight="1" x14ac:dyDescent="0.3">
      <c r="A68" s="210"/>
      <c r="B68" s="141"/>
      <c r="C68" s="141"/>
      <c r="D68" s="211"/>
      <c r="E68" s="201"/>
      <c r="F68" s="143"/>
      <c r="G68" s="211"/>
      <c r="H68" s="142"/>
      <c r="I68" s="212"/>
      <c r="J68" s="208"/>
      <c r="K68" s="207"/>
      <c r="L68" s="206"/>
      <c r="M68" s="207">
        <f ca="1">IF(NOT(ISERROR(MATCH(L68,_xlfn.ANCHORARRAY(E79),0))),K81&amp;"Por favor no seleccionar los criterios de impacto",L68)</f>
        <v>0</v>
      </c>
      <c r="N68" s="208"/>
      <c r="O68" s="207"/>
      <c r="P68" s="209"/>
      <c r="Q68" s="115">
        <v>2</v>
      </c>
      <c r="R68" s="116"/>
      <c r="S68" s="117" t="str">
        <f>IF(OR(T68="Preventivo",T68="Detectivo"),"Probabilidad",IF(T68="Correctivo","Impacto",""))</f>
        <v/>
      </c>
      <c r="T68" s="118"/>
      <c r="U68" s="118"/>
      <c r="V68" s="119" t="str">
        <f t="shared" ref="V68:V72" si="77">IF(AND(T68="Preventivo",U68="Automático"),"50%",IF(AND(T68="Preventivo",U68="Manual"),"40%",IF(AND(T68="Detectivo",U68="Automático"),"40%",IF(AND(T68="Detectivo",U68="Manual"),"30%",IF(AND(T68="Correctivo",U68="Automático"),"35%",IF(AND(T68="Correctivo",U68="Manual"),"25%",""))))))</f>
        <v/>
      </c>
      <c r="W68" s="118"/>
      <c r="X68" s="118"/>
      <c r="Y68" s="118"/>
      <c r="Z68" s="120" t="str">
        <f>IFERROR(IF(AND(S67="Probabilidad",S68="Probabilidad"),(AB67-(+AB67*V68)),IF(S68="Probabilidad",(K67-(+K67*V68)),IF(S68="Impacto",AB67,""))),"")</f>
        <v/>
      </c>
      <c r="AA68" s="121" t="str">
        <f t="shared" ref="AA68:AA72" si="78">IFERROR(IF(Z68="","",IF(Z68&lt;=0.2,"Muy Baja",IF(Z68&lt;=0.4,"Baja",IF(Z68&lt;=0.6,"Media",IF(Z68&lt;=0.8,"Alta","Muy Alta"))))),"")</f>
        <v/>
      </c>
      <c r="AB68" s="119" t="str">
        <f t="shared" ref="AB68:AB72" si="79">+Z68</f>
        <v/>
      </c>
      <c r="AC68" s="121" t="str">
        <f t="shared" ref="AC68:AC72" si="80">IFERROR(IF(AD68="","",IF(AD68&lt;=0.2,"Leve",IF(AD68&lt;=0.4,"Menor",IF(AD68&lt;=0.6,"Moderado",IF(AD68&lt;=0.8,"Mayor","Catastrófico"))))),"")</f>
        <v/>
      </c>
      <c r="AD68" s="119" t="str">
        <f>IFERROR(IF(AND(S67="Impacto",S68="Impacto"),(AD67-(+AD67*V68)),IF(S68="Impacto",($O$7-(+$O$7*V68)),IF(S68="Probabilidad",AD67,""))),"")</f>
        <v/>
      </c>
      <c r="AE68" s="122" t="str">
        <f t="shared" ref="AE68:AE69" si="81">IFERROR(IF(OR(AND(AA68="Muy Baja",AC68="Leve"),AND(AA68="Muy Baja",AC68="Menor"),AND(AA68="Baja",AC68="Leve")),"Bajo",IF(OR(AND(AA68="Muy baja",AC68="Moderado"),AND(AA68="Baja",AC68="Menor"),AND(AA68="Baja",AC68="Moderado"),AND(AA68="Media",AC68="Leve"),AND(AA68="Media",AC68="Menor"),AND(AA68="Media",AC68="Moderado"),AND(AA68="Alta",AC68="Leve"),AND(AA68="Alta",AC68="Menor")),"Moderado",IF(OR(AND(AA68="Muy Baja",AC68="Mayor"),AND(AA68="Baja",AC68="Mayor"),AND(AA68="Media",AC68="Mayor"),AND(AA68="Alta",AC68="Moderado"),AND(AA68="Alta",AC68="Mayor"),AND(AA68="Muy Alta",AC68="Leve"),AND(AA68="Muy Alta",AC68="Menor"),AND(AA68="Muy Alta",AC68="Moderado"),AND(AA68="Muy Alta",AC68="Mayor")),"Alto",IF(OR(AND(AA68="Muy Baja",AC68="Catastrófico"),AND(AA68="Baja",AC68="Catastrófico"),AND(AA68="Media",AC68="Catastrófico"),AND(AA68="Alta",AC68="Catastrófico"),AND(AA68="Muy Alta",AC68="Catastrófico")),"Extremo","")))),"")</f>
        <v/>
      </c>
      <c r="AF68" s="118"/>
      <c r="AG68" s="123"/>
      <c r="AH68" s="124"/>
      <c r="AI68" s="125"/>
      <c r="AJ68" s="125"/>
      <c r="AK68" s="123"/>
      <c r="AL68" s="124"/>
    </row>
    <row r="69" spans="1:38" x14ac:dyDescent="0.3">
      <c r="A69" s="210"/>
      <c r="B69" s="141"/>
      <c r="C69" s="141"/>
      <c r="D69" s="211"/>
      <c r="E69" s="201"/>
      <c r="F69" s="143"/>
      <c r="G69" s="211"/>
      <c r="H69" s="142"/>
      <c r="I69" s="212"/>
      <c r="J69" s="208"/>
      <c r="K69" s="207"/>
      <c r="L69" s="206"/>
      <c r="M69" s="207">
        <f ca="1">IF(NOT(ISERROR(MATCH(L69,_xlfn.ANCHORARRAY(E80),0))),K82&amp;"Por favor no seleccionar los criterios de impacto",L69)</f>
        <v>0</v>
      </c>
      <c r="N69" s="208"/>
      <c r="O69" s="207"/>
      <c r="P69" s="209"/>
      <c r="Q69" s="115">
        <v>3</v>
      </c>
      <c r="R69" s="128"/>
      <c r="S69" s="117" t="str">
        <f>IF(OR(T69="Preventivo",T69="Detectivo"),"Probabilidad",IF(T69="Correctivo","Impacto",""))</f>
        <v/>
      </c>
      <c r="T69" s="118"/>
      <c r="U69" s="118"/>
      <c r="V69" s="119" t="str">
        <f t="shared" si="77"/>
        <v/>
      </c>
      <c r="W69" s="118"/>
      <c r="X69" s="118"/>
      <c r="Y69" s="118"/>
      <c r="Z69" s="120" t="str">
        <f>IFERROR(IF(AND(S68="Probabilidad",S69="Probabilidad"),(AB68-(+AB68*V69)),IF(AND(S68="Impacto",S69="Probabilidad"),(AB67-(+AB67*V69)),IF(S69="Impacto",AB68,""))),"")</f>
        <v/>
      </c>
      <c r="AA69" s="121" t="str">
        <f t="shared" si="78"/>
        <v/>
      </c>
      <c r="AB69" s="119" t="str">
        <f t="shared" si="79"/>
        <v/>
      </c>
      <c r="AC69" s="121" t="str">
        <f t="shared" si="80"/>
        <v/>
      </c>
      <c r="AD69" s="119" t="str">
        <f>IFERROR(IF(AND(S68="Impacto",S69="Impacto"),(AD68-(+AD68*V69)),IF(AND(S68="Probabilidad",S69="Impacto"),(AD67-(+AD67*V69)),IF(S69="Probabilidad",AD68,""))),"")</f>
        <v/>
      </c>
      <c r="AE69" s="122" t="str">
        <f t="shared" si="81"/>
        <v/>
      </c>
      <c r="AF69" s="118"/>
      <c r="AG69" s="123"/>
      <c r="AH69" s="124"/>
      <c r="AI69" s="125"/>
      <c r="AJ69" s="125"/>
      <c r="AK69" s="123"/>
      <c r="AL69" s="124"/>
    </row>
    <row r="70" spans="1:38" x14ac:dyDescent="0.3">
      <c r="A70" s="210"/>
      <c r="B70" s="141"/>
      <c r="C70" s="141"/>
      <c r="D70" s="211"/>
      <c r="E70" s="201"/>
      <c r="F70" s="143"/>
      <c r="G70" s="211"/>
      <c r="H70" s="142"/>
      <c r="I70" s="212"/>
      <c r="J70" s="208"/>
      <c r="K70" s="207"/>
      <c r="L70" s="206"/>
      <c r="M70" s="207">
        <f ca="1">IF(NOT(ISERROR(MATCH(L70,_xlfn.ANCHORARRAY(E81),0))),K83&amp;"Por favor no seleccionar los criterios de impacto",L70)</f>
        <v>0</v>
      </c>
      <c r="N70" s="208"/>
      <c r="O70" s="207"/>
      <c r="P70" s="209"/>
      <c r="Q70" s="115">
        <v>4</v>
      </c>
      <c r="R70" s="116"/>
      <c r="S70" s="117" t="str">
        <f t="shared" ref="S70:S72" si="82">IF(OR(T70="Preventivo",T70="Detectivo"),"Probabilidad",IF(T70="Correctivo","Impacto",""))</f>
        <v/>
      </c>
      <c r="T70" s="118"/>
      <c r="U70" s="118"/>
      <c r="V70" s="119" t="str">
        <f t="shared" si="77"/>
        <v/>
      </c>
      <c r="W70" s="118"/>
      <c r="X70" s="118"/>
      <c r="Y70" s="118"/>
      <c r="Z70" s="120" t="str">
        <f t="shared" ref="Z70:Z72" si="83">IFERROR(IF(AND(S69="Probabilidad",S70="Probabilidad"),(AB69-(+AB69*V70)),IF(AND(S69="Impacto",S70="Probabilidad"),(AB68-(+AB68*V70)),IF(S70="Impacto",AB69,""))),"")</f>
        <v/>
      </c>
      <c r="AA70" s="121" t="str">
        <f t="shared" si="78"/>
        <v/>
      </c>
      <c r="AB70" s="119" t="str">
        <f t="shared" si="79"/>
        <v/>
      </c>
      <c r="AC70" s="121" t="str">
        <f t="shared" si="80"/>
        <v/>
      </c>
      <c r="AD70" s="119" t="str">
        <f t="shared" ref="AD70:AD72" si="84">IFERROR(IF(AND(S69="Impacto",S70="Impacto"),(AD69-(+AD69*V70)),IF(AND(S69="Probabilidad",S70="Impacto"),(AD68-(+AD68*V70)),IF(S70="Probabilidad",AD69,""))),"")</f>
        <v/>
      </c>
      <c r="AE70" s="122" t="str">
        <f>IFERROR(IF(OR(AND(AA70="Muy Baja",AC70="Leve"),AND(AA70="Muy Baja",AC70="Menor"),AND(AA70="Baja",AC70="Leve")),"Bajo",IF(OR(AND(AA70="Muy baja",AC70="Moderado"),AND(AA70="Baja",AC70="Menor"),AND(AA70="Baja",AC70="Moderado"),AND(AA70="Media",AC70="Leve"),AND(AA70="Media",AC70="Menor"),AND(AA70="Media",AC70="Moderado"),AND(AA70="Alta",AC70="Leve"),AND(AA70="Alta",AC70="Menor")),"Moderado",IF(OR(AND(AA70="Muy Baja",AC70="Mayor"),AND(AA70="Baja",AC70="Mayor"),AND(AA70="Media",AC70="Mayor"),AND(AA70="Alta",AC70="Moderado"),AND(AA70="Alta",AC70="Mayor"),AND(AA70="Muy Alta",AC70="Leve"),AND(AA70="Muy Alta",AC70="Menor"),AND(AA70="Muy Alta",AC70="Moderado"),AND(AA70="Muy Alta",AC70="Mayor")),"Alto",IF(OR(AND(AA70="Muy Baja",AC70="Catastrófico"),AND(AA70="Baja",AC70="Catastrófico"),AND(AA70="Media",AC70="Catastrófico"),AND(AA70="Alta",AC70="Catastrófico"),AND(AA70="Muy Alta",AC70="Catastrófico")),"Extremo","")))),"")</f>
        <v/>
      </c>
      <c r="AF70" s="118"/>
      <c r="AG70" s="123"/>
      <c r="AH70" s="124"/>
      <c r="AI70" s="125"/>
      <c r="AJ70" s="125"/>
      <c r="AK70" s="123"/>
      <c r="AL70" s="124"/>
    </row>
    <row r="71" spans="1:38" x14ac:dyDescent="0.3">
      <c r="A71" s="210"/>
      <c r="B71" s="141"/>
      <c r="C71" s="141"/>
      <c r="D71" s="211"/>
      <c r="E71" s="201"/>
      <c r="F71" s="143"/>
      <c r="G71" s="211"/>
      <c r="H71" s="142"/>
      <c r="I71" s="212"/>
      <c r="J71" s="208"/>
      <c r="K71" s="207"/>
      <c r="L71" s="206"/>
      <c r="M71" s="207">
        <f ca="1">IF(NOT(ISERROR(MATCH(L71,_xlfn.ANCHORARRAY(E82),0))),K84&amp;"Por favor no seleccionar los criterios de impacto",L71)</f>
        <v>0</v>
      </c>
      <c r="N71" s="208"/>
      <c r="O71" s="207"/>
      <c r="P71" s="209"/>
      <c r="Q71" s="115">
        <v>5</v>
      </c>
      <c r="R71" s="116"/>
      <c r="S71" s="117" t="str">
        <f t="shared" si="82"/>
        <v/>
      </c>
      <c r="T71" s="118"/>
      <c r="U71" s="118"/>
      <c r="V71" s="119" t="str">
        <f t="shared" si="77"/>
        <v/>
      </c>
      <c r="W71" s="118"/>
      <c r="X71" s="118"/>
      <c r="Y71" s="118"/>
      <c r="Z71" s="120" t="str">
        <f t="shared" si="83"/>
        <v/>
      </c>
      <c r="AA71" s="121" t="str">
        <f t="shared" si="78"/>
        <v/>
      </c>
      <c r="AB71" s="119" t="str">
        <f t="shared" si="79"/>
        <v/>
      </c>
      <c r="AC71" s="121" t="str">
        <f t="shared" si="80"/>
        <v/>
      </c>
      <c r="AD71" s="119" t="str">
        <f t="shared" si="84"/>
        <v/>
      </c>
      <c r="AE71" s="122" t="str">
        <f t="shared" ref="AE71:AE72" si="85">IFERROR(IF(OR(AND(AA71="Muy Baja",AC71="Leve"),AND(AA71="Muy Baja",AC71="Menor"),AND(AA71="Baja",AC71="Leve")),"Bajo",IF(OR(AND(AA71="Muy baja",AC71="Moderado"),AND(AA71="Baja",AC71="Menor"),AND(AA71="Baja",AC71="Moderado"),AND(AA71="Media",AC71="Leve"),AND(AA71="Media",AC71="Menor"),AND(AA71="Media",AC71="Moderado"),AND(AA71="Alta",AC71="Leve"),AND(AA71="Alta",AC71="Menor")),"Moderado",IF(OR(AND(AA71="Muy Baja",AC71="Mayor"),AND(AA71="Baja",AC71="Mayor"),AND(AA71="Media",AC71="Mayor"),AND(AA71="Alta",AC71="Moderado"),AND(AA71="Alta",AC71="Mayor"),AND(AA71="Muy Alta",AC71="Leve"),AND(AA71="Muy Alta",AC71="Menor"),AND(AA71="Muy Alta",AC71="Moderado"),AND(AA71="Muy Alta",AC71="Mayor")),"Alto",IF(OR(AND(AA71="Muy Baja",AC71="Catastrófico"),AND(AA71="Baja",AC71="Catastrófico"),AND(AA71="Media",AC71="Catastrófico"),AND(AA71="Alta",AC71="Catastrófico"),AND(AA71="Muy Alta",AC71="Catastrófico")),"Extremo","")))),"")</f>
        <v/>
      </c>
      <c r="AF71" s="118"/>
      <c r="AG71" s="123"/>
      <c r="AH71" s="124"/>
      <c r="AI71" s="125"/>
      <c r="AJ71" s="125"/>
      <c r="AK71" s="123"/>
      <c r="AL71" s="124"/>
    </row>
    <row r="72" spans="1:38" x14ac:dyDescent="0.3">
      <c r="A72" s="210"/>
      <c r="B72" s="141"/>
      <c r="C72" s="141"/>
      <c r="D72" s="211"/>
      <c r="E72" s="201"/>
      <c r="F72" s="143"/>
      <c r="G72" s="211"/>
      <c r="H72" s="142"/>
      <c r="I72" s="212"/>
      <c r="J72" s="208"/>
      <c r="K72" s="207"/>
      <c r="L72" s="206"/>
      <c r="M72" s="207">
        <f ca="1">IF(NOT(ISERROR(MATCH(L72,_xlfn.ANCHORARRAY(E83),0))),K85&amp;"Por favor no seleccionar los criterios de impacto",L72)</f>
        <v>0</v>
      </c>
      <c r="N72" s="208"/>
      <c r="O72" s="207"/>
      <c r="P72" s="209"/>
      <c r="Q72" s="115">
        <v>6</v>
      </c>
      <c r="R72" s="116"/>
      <c r="S72" s="117" t="str">
        <f t="shared" si="82"/>
        <v/>
      </c>
      <c r="T72" s="118"/>
      <c r="U72" s="118"/>
      <c r="V72" s="119" t="str">
        <f t="shared" si="77"/>
        <v/>
      </c>
      <c r="W72" s="118"/>
      <c r="X72" s="118"/>
      <c r="Y72" s="118"/>
      <c r="Z72" s="120" t="str">
        <f t="shared" si="83"/>
        <v/>
      </c>
      <c r="AA72" s="121" t="str">
        <f t="shared" si="78"/>
        <v/>
      </c>
      <c r="AB72" s="119" t="str">
        <f t="shared" si="79"/>
        <v/>
      </c>
      <c r="AC72" s="121" t="str">
        <f t="shared" si="80"/>
        <v/>
      </c>
      <c r="AD72" s="119" t="str">
        <f t="shared" si="84"/>
        <v/>
      </c>
      <c r="AE72" s="122" t="str">
        <f t="shared" si="85"/>
        <v/>
      </c>
      <c r="AF72" s="118"/>
      <c r="AG72" s="123"/>
      <c r="AH72" s="124"/>
      <c r="AI72" s="125"/>
      <c r="AJ72" s="125"/>
      <c r="AK72" s="123"/>
      <c r="AL72" s="124"/>
    </row>
    <row r="73" spans="1:38" x14ac:dyDescent="0.3">
      <c r="A73" s="210">
        <v>2</v>
      </c>
      <c r="B73" s="141"/>
      <c r="C73" s="141"/>
      <c r="D73" s="211"/>
      <c r="E73" s="201"/>
      <c r="F73" s="143"/>
      <c r="G73" s="211"/>
      <c r="H73" s="142"/>
      <c r="I73" s="212"/>
      <c r="J73" s="208" t="str">
        <f>IF(I73&lt;=0,"",IF(I73&lt;=2,"Muy Baja",IF(I73&lt;=24,"Baja",IF(I73&lt;=500,"Media",IF(I73&lt;=5000,"Alta","Muy Alta")))))</f>
        <v/>
      </c>
      <c r="K73" s="207" t="str">
        <f>IF(J73="","",IF(J73="Muy Baja",0.2,IF(J73="Baja",0.4,IF(J73="Media",0.6,IF(J73="Alta",0.8,IF(J73="Muy Alta",1,))))))</f>
        <v/>
      </c>
      <c r="L73" s="206"/>
      <c r="M73" s="207">
        <f ca="1">IF(NOT(ISERROR(MATCH(L73,'Tabla Impacto'!$B$221:$B$223,0))),'Tabla Impacto'!$F$223&amp;"Por favor no seleccionar los criterios de impacto(Afectación Económica o presupuestal y Pérdida Reputacional)",L73)</f>
        <v>0</v>
      </c>
      <c r="N73" s="208" t="str">
        <f ca="1">IF(OR(M73='Tabla Impacto'!$C$11,M73='Tabla Impacto'!$D$11),"Leve",IF(OR(M73='Tabla Impacto'!$C$12,M73='Tabla Impacto'!$D$12),"Menor",IF(OR(M73='Tabla Impacto'!$C$13,M73='Tabla Impacto'!$D$13),"Moderado",IF(OR(M73='Tabla Impacto'!$C$14,M73='Tabla Impacto'!$D$14),"Mayor",IF(OR(M73='Tabla Impacto'!$C$15,M73='Tabla Impacto'!$D$15),"Catastrófico","")))))</f>
        <v/>
      </c>
      <c r="O73" s="207" t="str">
        <f ca="1">IF(N73="","",IF(N73="Leve",0.2,IF(N73="Menor",0.4,IF(N73="Moderado",0.6,IF(N73="Mayor",0.8,IF(N73="Catastrófico",1,))))))</f>
        <v/>
      </c>
      <c r="P73" s="209" t="str">
        <f ca="1">IF(OR(AND(J73="Muy Baja",N73="Leve"),AND(J73="Muy Baja",N73="Menor"),AND(J73="Baja",N73="Leve")),"Bajo",IF(OR(AND(J73="Muy baja",N73="Moderado"),AND(J73="Baja",N73="Menor"),AND(J73="Baja",N73="Moderado"),AND(J73="Media",N73="Leve"),AND(J73="Media",N73="Menor"),AND(J73="Media",N73="Moderado"),AND(J73="Alta",N73="Leve"),AND(J73="Alta",N73="Menor")),"Moderado",IF(OR(AND(J73="Muy Baja",N73="Mayor"),AND(J73="Baja",N73="Mayor"),AND(J73="Media",N73="Mayor"),AND(J73="Alta",N73="Moderado"),AND(J73="Alta",N73="Mayor"),AND(J73="Muy Alta",N73="Leve"),AND(J73="Muy Alta",N73="Menor"),AND(J73="Muy Alta",N73="Moderado"),AND(J73="Muy Alta",N73="Mayor")),"Alto",IF(OR(AND(J73="Muy Baja",N73="Catastrófico"),AND(J73="Baja",N73="Catastrófico"),AND(J73="Media",N73="Catastrófico"),AND(J73="Alta",N73="Catastrófico"),AND(J73="Muy Alta",N73="Catastrófico")),"Extremo",""))))</f>
        <v/>
      </c>
      <c r="Q73" s="115">
        <v>1</v>
      </c>
      <c r="R73" s="116"/>
      <c r="S73" s="117" t="str">
        <f>IF(OR(T73="Preventivo",T73="Detectivo"),"Probabilidad",IF(T73="Correctivo","Impacto",""))</f>
        <v/>
      </c>
      <c r="T73" s="118"/>
      <c r="U73" s="118"/>
      <c r="V73" s="119" t="str">
        <f>IF(AND(T73="Preventivo",U73="Automático"),"50%",IF(AND(T73="Preventivo",U73="Manual"),"40%",IF(AND(T73="Detectivo",U73="Automático"),"40%",IF(AND(T73="Detectivo",U73="Manual"),"30%",IF(AND(T73="Correctivo",U73="Automático"),"35%",IF(AND(T73="Correctivo",U73="Manual"),"25%",""))))))</f>
        <v/>
      </c>
      <c r="W73" s="118"/>
      <c r="X73" s="118"/>
      <c r="Y73" s="118"/>
      <c r="Z73" s="120" t="str">
        <f>IFERROR(IF(S73="Probabilidad",(K73-(+K73*V73)),IF(S73="Impacto",K73,"")),"")</f>
        <v/>
      </c>
      <c r="AA73" s="121" t="str">
        <f>IFERROR(IF(Z73="","",IF(Z73&lt;=0.2,"Muy Baja",IF(Z73&lt;=0.4,"Baja",IF(Z73&lt;=0.6,"Media",IF(Z73&lt;=0.8,"Alta","Muy Alta"))))),"")</f>
        <v/>
      </c>
      <c r="AB73" s="119" t="str">
        <f>+Z73</f>
        <v/>
      </c>
      <c r="AC73" s="121" t="str">
        <f>IFERROR(IF(AD73="","",IF(AD73&lt;=0.2,"Leve",IF(AD73&lt;=0.4,"Menor",IF(AD73&lt;=0.6,"Moderado",IF(AD73&lt;=0.8,"Mayor","Catastrófico"))))),"")</f>
        <v/>
      </c>
      <c r="AD73" s="119" t="str">
        <f>IFERROR(IF(S73="Impacto",(O73-(+O73*V73)),IF(S73="Probabilidad",O73,"")),"")</f>
        <v/>
      </c>
      <c r="AE73" s="122" t="str">
        <f>IFERROR(IF(OR(AND(AA73="Muy Baja",AC73="Leve"),AND(AA73="Muy Baja",AC73="Menor"),AND(AA73="Baja",AC73="Leve")),"Bajo",IF(OR(AND(AA73="Muy baja",AC73="Moderado"),AND(AA73="Baja",AC73="Menor"),AND(AA73="Baja",AC73="Moderado"),AND(AA73="Media",AC73="Leve"),AND(AA73="Media",AC73="Menor"),AND(AA73="Media",AC73="Moderado"),AND(AA73="Alta",AC73="Leve"),AND(AA73="Alta",AC73="Menor")),"Moderado",IF(OR(AND(AA73="Muy Baja",AC73="Mayor"),AND(AA73="Baja",AC73="Mayor"),AND(AA73="Media",AC73="Mayor"),AND(AA73="Alta",AC73="Moderado"),AND(AA73="Alta",AC73="Mayor"),AND(AA73="Muy Alta",AC73="Leve"),AND(AA73="Muy Alta",AC73="Menor"),AND(AA73="Muy Alta",AC73="Moderado"),AND(AA73="Muy Alta",AC73="Mayor")),"Alto",IF(OR(AND(AA73="Muy Baja",AC73="Catastrófico"),AND(AA73="Baja",AC73="Catastrófico"),AND(AA73="Media",AC73="Catastrófico"),AND(AA73="Alta",AC73="Catastrófico"),AND(AA73="Muy Alta",AC73="Catastrófico")),"Extremo","")))),"")</f>
        <v/>
      </c>
      <c r="AF73" s="118"/>
      <c r="AG73" s="123"/>
      <c r="AH73" s="124"/>
      <c r="AI73" s="125"/>
      <c r="AJ73" s="125"/>
      <c r="AK73" s="123"/>
      <c r="AL73" s="124"/>
    </row>
    <row r="74" spans="1:38" x14ac:dyDescent="0.3">
      <c r="A74" s="210"/>
      <c r="B74" s="141"/>
      <c r="C74" s="141"/>
      <c r="D74" s="211"/>
      <c r="E74" s="201"/>
      <c r="F74" s="143"/>
      <c r="G74" s="211"/>
      <c r="H74" s="142"/>
      <c r="I74" s="212"/>
      <c r="J74" s="208"/>
      <c r="K74" s="207"/>
      <c r="L74" s="206"/>
      <c r="M74" s="207">
        <f ca="1">IF(NOT(ISERROR(MATCH(L74,_xlfn.ANCHORARRAY(E85),0))),K87&amp;"Por favor no seleccionar los criterios de impacto",L74)</f>
        <v>0</v>
      </c>
      <c r="N74" s="208"/>
      <c r="O74" s="207"/>
      <c r="P74" s="209"/>
      <c r="Q74" s="115">
        <v>2</v>
      </c>
      <c r="R74" s="116"/>
      <c r="S74" s="117" t="str">
        <f>IF(OR(T74="Preventivo",T74="Detectivo"),"Probabilidad",IF(T74="Correctivo","Impacto",""))</f>
        <v/>
      </c>
      <c r="T74" s="118"/>
      <c r="U74" s="118"/>
      <c r="V74" s="119" t="str">
        <f t="shared" ref="V74:V78" si="86">IF(AND(T74="Preventivo",U74="Automático"),"50%",IF(AND(T74="Preventivo",U74="Manual"),"40%",IF(AND(T74="Detectivo",U74="Automático"),"40%",IF(AND(T74="Detectivo",U74="Manual"),"30%",IF(AND(T74="Correctivo",U74="Automático"),"35%",IF(AND(T74="Correctivo",U74="Manual"),"25%",""))))))</f>
        <v/>
      </c>
      <c r="W74" s="118"/>
      <c r="X74" s="118"/>
      <c r="Y74" s="118"/>
      <c r="Z74" s="120" t="str">
        <f>IFERROR(IF(AND(S73="Probabilidad",S74="Probabilidad"),(AB73-(+AB73*V74)),IF(S74="Probabilidad",(K73-(+K73*V74)),IF(S74="Impacto",AB73,""))),"")</f>
        <v/>
      </c>
      <c r="AA74" s="121" t="str">
        <f t="shared" ref="AA74:AA78" si="87">IFERROR(IF(Z74="","",IF(Z74&lt;=0.2,"Muy Baja",IF(Z74&lt;=0.4,"Baja",IF(Z74&lt;=0.6,"Media",IF(Z74&lt;=0.8,"Alta","Muy Alta"))))),"")</f>
        <v/>
      </c>
      <c r="AB74" s="119" t="str">
        <f t="shared" ref="AB74:AB78" si="88">+Z74</f>
        <v/>
      </c>
      <c r="AC74" s="121" t="str">
        <f t="shared" ref="AC74:AC78" si="89">IFERROR(IF(AD74="","",IF(AD74&lt;=0.2,"Leve",IF(AD74&lt;=0.4,"Menor",IF(AD74&lt;=0.6,"Moderado",IF(AD74&lt;=0.8,"Mayor","Catastrófico"))))),"")</f>
        <v/>
      </c>
      <c r="AD74" s="119" t="str">
        <f>IFERROR(IF(AND(S73="Impacto",S74="Impacto"),(AD67-(+AD67*V74)),IF(S74="Impacto",($O$13-(+$O$13*V74)),IF(S74="Probabilidad",AD67,""))),"")</f>
        <v/>
      </c>
      <c r="AE74" s="122" t="str">
        <f t="shared" ref="AE74:AE75" si="90">IFERROR(IF(OR(AND(AA74="Muy Baja",AC74="Leve"),AND(AA74="Muy Baja",AC74="Menor"),AND(AA74="Baja",AC74="Leve")),"Bajo",IF(OR(AND(AA74="Muy baja",AC74="Moderado"),AND(AA74="Baja",AC74="Menor"),AND(AA74="Baja",AC74="Moderado"),AND(AA74="Media",AC74="Leve"),AND(AA74="Media",AC74="Menor"),AND(AA74="Media",AC74="Moderado"),AND(AA74="Alta",AC74="Leve"),AND(AA74="Alta",AC74="Menor")),"Moderado",IF(OR(AND(AA74="Muy Baja",AC74="Mayor"),AND(AA74="Baja",AC74="Mayor"),AND(AA74="Media",AC74="Mayor"),AND(AA74="Alta",AC74="Moderado"),AND(AA74="Alta",AC74="Mayor"),AND(AA74="Muy Alta",AC74="Leve"),AND(AA74="Muy Alta",AC74="Menor"),AND(AA74="Muy Alta",AC74="Moderado"),AND(AA74="Muy Alta",AC74="Mayor")),"Alto",IF(OR(AND(AA74="Muy Baja",AC74="Catastrófico"),AND(AA74="Baja",AC74="Catastrófico"),AND(AA74="Media",AC74="Catastrófico"),AND(AA74="Alta",AC74="Catastrófico"),AND(AA74="Muy Alta",AC74="Catastrófico")),"Extremo","")))),"")</f>
        <v/>
      </c>
      <c r="AF74" s="118"/>
      <c r="AG74" s="123"/>
      <c r="AH74" s="124"/>
      <c r="AI74" s="125"/>
      <c r="AJ74" s="125"/>
      <c r="AK74" s="123"/>
      <c r="AL74" s="124"/>
    </row>
    <row r="75" spans="1:38" x14ac:dyDescent="0.3">
      <c r="A75" s="210"/>
      <c r="B75" s="141"/>
      <c r="C75" s="141"/>
      <c r="D75" s="211"/>
      <c r="E75" s="201"/>
      <c r="F75" s="143"/>
      <c r="G75" s="211"/>
      <c r="H75" s="142"/>
      <c r="I75" s="212"/>
      <c r="J75" s="208"/>
      <c r="K75" s="207"/>
      <c r="L75" s="206"/>
      <c r="M75" s="207">
        <f ca="1">IF(NOT(ISERROR(MATCH(L75,_xlfn.ANCHORARRAY(E86),0))),K88&amp;"Por favor no seleccionar los criterios de impacto",L75)</f>
        <v>0</v>
      </c>
      <c r="N75" s="208"/>
      <c r="O75" s="207"/>
      <c r="P75" s="209"/>
      <c r="Q75" s="115">
        <v>3</v>
      </c>
      <c r="R75" s="128"/>
      <c r="S75" s="117" t="str">
        <f>IF(OR(T75="Preventivo",T75="Detectivo"),"Probabilidad",IF(T75="Correctivo","Impacto",""))</f>
        <v/>
      </c>
      <c r="T75" s="118"/>
      <c r="U75" s="118"/>
      <c r="V75" s="119" t="str">
        <f t="shared" si="86"/>
        <v/>
      </c>
      <c r="W75" s="118"/>
      <c r="X75" s="118"/>
      <c r="Y75" s="118"/>
      <c r="Z75" s="120" t="str">
        <f>IFERROR(IF(AND(S74="Probabilidad",S75="Probabilidad"),(AB74-(+AB74*V75)),IF(AND(S74="Impacto",S75="Probabilidad"),(AB73-(+AB73*V75)),IF(S75="Impacto",AB74,""))),"")</f>
        <v/>
      </c>
      <c r="AA75" s="121" t="str">
        <f t="shared" si="87"/>
        <v/>
      </c>
      <c r="AB75" s="119" t="str">
        <f t="shared" si="88"/>
        <v/>
      </c>
      <c r="AC75" s="121" t="str">
        <f t="shared" si="89"/>
        <v/>
      </c>
      <c r="AD75" s="119" t="str">
        <f>IFERROR(IF(AND(S74="Impacto",S75="Impacto"),(AD74-(+AD74*V75)),IF(AND(S74="Probabilidad",S75="Impacto"),(AD73-(+AD73*V75)),IF(S75="Probabilidad",AD74,""))),"")</f>
        <v/>
      </c>
      <c r="AE75" s="122" t="str">
        <f t="shared" si="90"/>
        <v/>
      </c>
      <c r="AF75" s="118"/>
      <c r="AG75" s="123"/>
      <c r="AH75" s="124"/>
      <c r="AI75" s="125"/>
      <c r="AJ75" s="125"/>
      <c r="AK75" s="123"/>
      <c r="AL75" s="124"/>
    </row>
    <row r="76" spans="1:38" x14ac:dyDescent="0.3">
      <c r="A76" s="210"/>
      <c r="B76" s="141"/>
      <c r="C76" s="141"/>
      <c r="D76" s="211"/>
      <c r="E76" s="201"/>
      <c r="F76" s="143"/>
      <c r="G76" s="211"/>
      <c r="H76" s="142"/>
      <c r="I76" s="212"/>
      <c r="J76" s="208"/>
      <c r="K76" s="207"/>
      <c r="L76" s="206"/>
      <c r="M76" s="207">
        <f ca="1">IF(NOT(ISERROR(MATCH(L76,_xlfn.ANCHORARRAY(E87),0))),K89&amp;"Por favor no seleccionar los criterios de impacto",L76)</f>
        <v>0</v>
      </c>
      <c r="N76" s="208"/>
      <c r="O76" s="207"/>
      <c r="P76" s="209"/>
      <c r="Q76" s="115">
        <v>4</v>
      </c>
      <c r="R76" s="116"/>
      <c r="S76" s="117" t="str">
        <f t="shared" ref="S76:S78" si="91">IF(OR(T76="Preventivo",T76="Detectivo"),"Probabilidad",IF(T76="Correctivo","Impacto",""))</f>
        <v/>
      </c>
      <c r="T76" s="118"/>
      <c r="U76" s="118"/>
      <c r="V76" s="119" t="str">
        <f t="shared" si="86"/>
        <v/>
      </c>
      <c r="W76" s="118"/>
      <c r="X76" s="118"/>
      <c r="Y76" s="118"/>
      <c r="Z76" s="120" t="str">
        <f t="shared" ref="Z76:Z78" si="92">IFERROR(IF(AND(S75="Probabilidad",S76="Probabilidad"),(AB75-(+AB75*V76)),IF(AND(S75="Impacto",S76="Probabilidad"),(AB74-(+AB74*V76)),IF(S76="Impacto",AB75,""))),"")</f>
        <v/>
      </c>
      <c r="AA76" s="121" t="str">
        <f t="shared" si="87"/>
        <v/>
      </c>
      <c r="AB76" s="119" t="str">
        <f t="shared" si="88"/>
        <v/>
      </c>
      <c r="AC76" s="121" t="str">
        <f t="shared" si="89"/>
        <v/>
      </c>
      <c r="AD76" s="119" t="str">
        <f t="shared" ref="AD76:AD78" si="93">IFERROR(IF(AND(S75="Impacto",S76="Impacto"),(AD75-(+AD75*V76)),IF(AND(S75="Probabilidad",S76="Impacto"),(AD74-(+AD74*V76)),IF(S76="Probabilidad",AD75,""))),"")</f>
        <v/>
      </c>
      <c r="AE76" s="122" t="str">
        <f>IFERROR(IF(OR(AND(AA76="Muy Baja",AC76="Leve"),AND(AA76="Muy Baja",AC76="Menor"),AND(AA76="Baja",AC76="Leve")),"Bajo",IF(OR(AND(AA76="Muy baja",AC76="Moderado"),AND(AA76="Baja",AC76="Menor"),AND(AA76="Baja",AC76="Moderado"),AND(AA76="Media",AC76="Leve"),AND(AA76="Media",AC76="Menor"),AND(AA76="Media",AC76="Moderado"),AND(AA76="Alta",AC76="Leve"),AND(AA76="Alta",AC76="Menor")),"Moderado",IF(OR(AND(AA76="Muy Baja",AC76="Mayor"),AND(AA76="Baja",AC76="Mayor"),AND(AA76="Media",AC76="Mayor"),AND(AA76="Alta",AC76="Moderado"),AND(AA76="Alta",AC76="Mayor"),AND(AA76="Muy Alta",AC76="Leve"),AND(AA76="Muy Alta",AC76="Menor"),AND(AA76="Muy Alta",AC76="Moderado"),AND(AA76="Muy Alta",AC76="Mayor")),"Alto",IF(OR(AND(AA76="Muy Baja",AC76="Catastrófico"),AND(AA76="Baja",AC76="Catastrófico"),AND(AA76="Media",AC76="Catastrófico"),AND(AA76="Alta",AC76="Catastrófico"),AND(AA76="Muy Alta",AC76="Catastrófico")),"Extremo","")))),"")</f>
        <v/>
      </c>
      <c r="AF76" s="118"/>
      <c r="AG76" s="123"/>
      <c r="AH76" s="124"/>
      <c r="AI76" s="125"/>
      <c r="AJ76" s="125"/>
      <c r="AK76" s="123"/>
      <c r="AL76" s="124"/>
    </row>
    <row r="77" spans="1:38" x14ac:dyDescent="0.3">
      <c r="A77" s="210"/>
      <c r="B77" s="141"/>
      <c r="C77" s="141"/>
      <c r="D77" s="211"/>
      <c r="E77" s="201"/>
      <c r="F77" s="143"/>
      <c r="G77" s="211"/>
      <c r="H77" s="142"/>
      <c r="I77" s="212"/>
      <c r="J77" s="208"/>
      <c r="K77" s="207"/>
      <c r="L77" s="206"/>
      <c r="M77" s="207">
        <f ca="1">IF(NOT(ISERROR(MATCH(L77,_xlfn.ANCHORARRAY(E88),0))),K90&amp;"Por favor no seleccionar los criterios de impacto",L77)</f>
        <v>0</v>
      </c>
      <c r="N77" s="208"/>
      <c r="O77" s="207"/>
      <c r="P77" s="209"/>
      <c r="Q77" s="115">
        <v>5</v>
      </c>
      <c r="R77" s="116"/>
      <c r="S77" s="117" t="str">
        <f t="shared" si="91"/>
        <v/>
      </c>
      <c r="T77" s="118"/>
      <c r="U77" s="118"/>
      <c r="V77" s="119" t="str">
        <f t="shared" si="86"/>
        <v/>
      </c>
      <c r="W77" s="118"/>
      <c r="X77" s="118"/>
      <c r="Y77" s="118"/>
      <c r="Z77" s="120" t="str">
        <f t="shared" si="92"/>
        <v/>
      </c>
      <c r="AA77" s="121" t="str">
        <f t="shared" si="87"/>
        <v/>
      </c>
      <c r="AB77" s="119" t="str">
        <f t="shared" si="88"/>
        <v/>
      </c>
      <c r="AC77" s="121" t="str">
        <f t="shared" si="89"/>
        <v/>
      </c>
      <c r="AD77" s="119" t="str">
        <f t="shared" si="93"/>
        <v/>
      </c>
      <c r="AE77" s="122" t="str">
        <f t="shared" ref="AE77:AE78" si="94">IFERROR(IF(OR(AND(AA77="Muy Baja",AC77="Leve"),AND(AA77="Muy Baja",AC77="Menor"),AND(AA77="Baja",AC77="Leve")),"Bajo",IF(OR(AND(AA77="Muy baja",AC77="Moderado"),AND(AA77="Baja",AC77="Menor"),AND(AA77="Baja",AC77="Moderado"),AND(AA77="Media",AC77="Leve"),AND(AA77="Media",AC77="Menor"),AND(AA77="Media",AC77="Moderado"),AND(AA77="Alta",AC77="Leve"),AND(AA77="Alta",AC77="Menor")),"Moderado",IF(OR(AND(AA77="Muy Baja",AC77="Mayor"),AND(AA77="Baja",AC77="Mayor"),AND(AA77="Media",AC77="Mayor"),AND(AA77="Alta",AC77="Moderado"),AND(AA77="Alta",AC77="Mayor"),AND(AA77="Muy Alta",AC77="Leve"),AND(AA77="Muy Alta",AC77="Menor"),AND(AA77="Muy Alta",AC77="Moderado"),AND(AA77="Muy Alta",AC77="Mayor")),"Alto",IF(OR(AND(AA77="Muy Baja",AC77="Catastrófico"),AND(AA77="Baja",AC77="Catastrófico"),AND(AA77="Media",AC77="Catastrófico"),AND(AA77="Alta",AC77="Catastrófico"),AND(AA77="Muy Alta",AC77="Catastrófico")),"Extremo","")))),"")</f>
        <v/>
      </c>
      <c r="AF77" s="118"/>
      <c r="AG77" s="123"/>
      <c r="AH77" s="124"/>
      <c r="AI77" s="125"/>
      <c r="AJ77" s="125"/>
      <c r="AK77" s="123"/>
      <c r="AL77" s="124"/>
    </row>
    <row r="78" spans="1:38" x14ac:dyDescent="0.3">
      <c r="A78" s="210"/>
      <c r="B78" s="141"/>
      <c r="C78" s="141"/>
      <c r="D78" s="211"/>
      <c r="E78" s="201"/>
      <c r="F78" s="143"/>
      <c r="G78" s="211"/>
      <c r="H78" s="142"/>
      <c r="I78" s="212"/>
      <c r="J78" s="208"/>
      <c r="K78" s="207"/>
      <c r="L78" s="206"/>
      <c r="M78" s="207">
        <f ca="1">IF(NOT(ISERROR(MATCH(L78,_xlfn.ANCHORARRAY(E89),0))),K91&amp;"Por favor no seleccionar los criterios de impacto",L78)</f>
        <v>0</v>
      </c>
      <c r="N78" s="208"/>
      <c r="O78" s="207"/>
      <c r="P78" s="209"/>
      <c r="Q78" s="115">
        <v>6</v>
      </c>
      <c r="R78" s="116"/>
      <c r="S78" s="117" t="str">
        <f t="shared" si="91"/>
        <v/>
      </c>
      <c r="T78" s="118"/>
      <c r="U78" s="118"/>
      <c r="V78" s="119" t="str">
        <f t="shared" si="86"/>
        <v/>
      </c>
      <c r="W78" s="118"/>
      <c r="X78" s="118"/>
      <c r="Y78" s="118"/>
      <c r="Z78" s="120" t="str">
        <f t="shared" si="92"/>
        <v/>
      </c>
      <c r="AA78" s="121" t="str">
        <f t="shared" si="87"/>
        <v/>
      </c>
      <c r="AB78" s="119" t="str">
        <f t="shared" si="88"/>
        <v/>
      </c>
      <c r="AC78" s="121" t="str">
        <f t="shared" si="89"/>
        <v/>
      </c>
      <c r="AD78" s="119" t="str">
        <f t="shared" si="93"/>
        <v/>
      </c>
      <c r="AE78" s="122" t="str">
        <f t="shared" si="94"/>
        <v/>
      </c>
      <c r="AF78" s="118"/>
      <c r="AG78" s="123"/>
      <c r="AH78" s="124"/>
      <c r="AI78" s="125"/>
      <c r="AJ78" s="125"/>
      <c r="AK78" s="123"/>
      <c r="AL78" s="124"/>
    </row>
    <row r="79" spans="1:38" x14ac:dyDescent="0.3">
      <c r="A79" s="210">
        <v>3</v>
      </c>
      <c r="B79" s="141"/>
      <c r="C79" s="141"/>
      <c r="D79" s="211"/>
      <c r="E79" s="201"/>
      <c r="F79" s="143"/>
      <c r="G79" s="211"/>
      <c r="H79" s="142"/>
      <c r="I79" s="212"/>
      <c r="J79" s="208" t="str">
        <f>IF(I79&lt;=0,"",IF(I79&lt;=2,"Muy Baja",IF(I79&lt;=24,"Baja",IF(I79&lt;=500,"Media",IF(I79&lt;=5000,"Alta","Muy Alta")))))</f>
        <v/>
      </c>
      <c r="K79" s="207" t="str">
        <f>IF(J79="","",IF(J79="Muy Baja",0.2,IF(J79="Baja",0.4,IF(J79="Media",0.6,IF(J79="Alta",0.8,IF(J79="Muy Alta",1,))))))</f>
        <v/>
      </c>
      <c r="L79" s="206"/>
      <c r="M79" s="207">
        <f ca="1">IF(NOT(ISERROR(MATCH(L79,'Tabla Impacto'!$B$221:$B$223,0))),'Tabla Impacto'!$F$223&amp;"Por favor no seleccionar los criterios de impacto(Afectación Económica o presupuestal y Pérdida Reputacional)",L79)</f>
        <v>0</v>
      </c>
      <c r="N79" s="208" t="str">
        <f ca="1">IF(OR(M79='Tabla Impacto'!$C$11,M79='Tabla Impacto'!$D$11),"Leve",IF(OR(M79='Tabla Impacto'!$C$12,M79='Tabla Impacto'!$D$12),"Menor",IF(OR(M79='Tabla Impacto'!$C$13,M79='Tabla Impacto'!$D$13),"Moderado",IF(OR(M79='Tabla Impacto'!$C$14,M79='Tabla Impacto'!$D$14),"Mayor",IF(OR(M79='Tabla Impacto'!$C$15,M79='Tabla Impacto'!$D$15),"Catastrófico","")))))</f>
        <v/>
      </c>
      <c r="O79" s="207" t="str">
        <f ca="1">IF(N79="","",IF(N79="Leve",0.2,IF(N79="Menor",0.4,IF(N79="Moderado",0.6,IF(N79="Mayor",0.8,IF(N79="Catastrófico",1,))))))</f>
        <v/>
      </c>
      <c r="P79" s="209" t="str">
        <f ca="1">IF(OR(AND(J79="Muy Baja",N79="Leve"),AND(J79="Muy Baja",N79="Menor"),AND(J79="Baja",N79="Leve")),"Bajo",IF(OR(AND(J79="Muy baja",N79="Moderado"),AND(J79="Baja",N79="Menor"),AND(J79="Baja",N79="Moderado"),AND(J79="Media",N79="Leve"),AND(J79="Media",N79="Menor"),AND(J79="Media",N79="Moderado"),AND(J79="Alta",N79="Leve"),AND(J79="Alta",N79="Menor")),"Moderado",IF(OR(AND(J79="Muy Baja",N79="Mayor"),AND(J79="Baja",N79="Mayor"),AND(J79="Media",N79="Mayor"),AND(J79="Alta",N79="Moderado"),AND(J79="Alta",N79="Mayor"),AND(J79="Muy Alta",N79="Leve"),AND(J79="Muy Alta",N79="Menor"),AND(J79="Muy Alta",N79="Moderado"),AND(J79="Muy Alta",N79="Mayor")),"Alto",IF(OR(AND(J79="Muy Baja",N79="Catastrófico"),AND(J79="Baja",N79="Catastrófico"),AND(J79="Media",N79="Catastrófico"),AND(J79="Alta",N79="Catastrófico"),AND(J79="Muy Alta",N79="Catastrófico")),"Extremo",""))))</f>
        <v/>
      </c>
      <c r="Q79" s="115">
        <v>1</v>
      </c>
      <c r="R79" s="116"/>
      <c r="S79" s="117" t="str">
        <f>IF(OR(T79="Preventivo",T79="Detectivo"),"Probabilidad",IF(T79="Correctivo","Impacto",""))</f>
        <v/>
      </c>
      <c r="T79" s="118"/>
      <c r="U79" s="118"/>
      <c r="V79" s="119" t="str">
        <f>IF(AND(T79="Preventivo",U79="Automático"),"50%",IF(AND(T79="Preventivo",U79="Manual"),"40%",IF(AND(T79="Detectivo",U79="Automático"),"40%",IF(AND(T79="Detectivo",U79="Manual"),"30%",IF(AND(T79="Correctivo",U79="Automático"),"35%",IF(AND(T79="Correctivo",U79="Manual"),"25%",""))))))</f>
        <v/>
      </c>
      <c r="W79" s="118"/>
      <c r="X79" s="118"/>
      <c r="Y79" s="118"/>
      <c r="Z79" s="120" t="str">
        <f>IFERROR(IF(S79="Probabilidad",(K79-(+K79*V79)),IF(S79="Impacto",K79,"")),"")</f>
        <v/>
      </c>
      <c r="AA79" s="121" t="str">
        <f>IFERROR(IF(Z79="","",IF(Z79&lt;=0.2,"Muy Baja",IF(Z79&lt;=0.4,"Baja",IF(Z79&lt;=0.6,"Media",IF(Z79&lt;=0.8,"Alta","Muy Alta"))))),"")</f>
        <v/>
      </c>
      <c r="AB79" s="119" t="str">
        <f>+Z79</f>
        <v/>
      </c>
      <c r="AC79" s="121" t="str">
        <f>IFERROR(IF(AD79="","",IF(AD79&lt;=0.2,"Leve",IF(AD79&lt;=0.4,"Menor",IF(AD79&lt;=0.6,"Moderado",IF(AD79&lt;=0.8,"Mayor","Catastrófico"))))),"")</f>
        <v/>
      </c>
      <c r="AD79" s="119" t="str">
        <f>IFERROR(IF(S79="Impacto",(O79-(+O79*V79)),IF(S79="Probabilidad",O79,"")),"")</f>
        <v/>
      </c>
      <c r="AE79" s="122" t="str">
        <f>IFERROR(IF(OR(AND(AA79="Muy Baja",AC79="Leve"),AND(AA79="Muy Baja",AC79="Menor"),AND(AA79="Baja",AC79="Leve")),"Bajo",IF(OR(AND(AA79="Muy baja",AC79="Moderado"),AND(AA79="Baja",AC79="Menor"),AND(AA79="Baja",AC79="Moderado"),AND(AA79="Media",AC79="Leve"),AND(AA79="Media",AC79="Menor"),AND(AA79="Media",AC79="Moderado"),AND(AA79="Alta",AC79="Leve"),AND(AA79="Alta",AC79="Menor")),"Moderado",IF(OR(AND(AA79="Muy Baja",AC79="Mayor"),AND(AA79="Baja",AC79="Mayor"),AND(AA79="Media",AC79="Mayor"),AND(AA79="Alta",AC79="Moderado"),AND(AA79="Alta",AC79="Mayor"),AND(AA79="Muy Alta",AC79="Leve"),AND(AA79="Muy Alta",AC79="Menor"),AND(AA79="Muy Alta",AC79="Moderado"),AND(AA79="Muy Alta",AC79="Mayor")),"Alto",IF(OR(AND(AA79="Muy Baja",AC79="Catastrófico"),AND(AA79="Baja",AC79="Catastrófico"),AND(AA79="Media",AC79="Catastrófico"),AND(AA79="Alta",AC79="Catastrófico"),AND(AA79="Muy Alta",AC79="Catastrófico")),"Extremo","")))),"")</f>
        <v/>
      </c>
      <c r="AF79" s="118"/>
      <c r="AG79" s="123"/>
      <c r="AH79" s="124"/>
      <c r="AI79" s="125"/>
      <c r="AJ79" s="125"/>
      <c r="AK79" s="123"/>
      <c r="AL79" s="124"/>
    </row>
    <row r="80" spans="1:38" x14ac:dyDescent="0.3">
      <c r="A80" s="210"/>
      <c r="B80" s="141"/>
      <c r="C80" s="141"/>
      <c r="D80" s="211"/>
      <c r="E80" s="201"/>
      <c r="F80" s="143"/>
      <c r="G80" s="211"/>
      <c r="H80" s="142"/>
      <c r="I80" s="212"/>
      <c r="J80" s="208"/>
      <c r="K80" s="207"/>
      <c r="L80" s="206"/>
      <c r="M80" s="207">
        <f t="shared" ref="M80:M84" ca="1" si="95">IF(NOT(ISERROR(MATCH(L80,_xlfn.ANCHORARRAY(E91),0))),K93&amp;"Por favor no seleccionar los criterios de impacto",L80)</f>
        <v>0</v>
      </c>
      <c r="N80" s="208"/>
      <c r="O80" s="207"/>
      <c r="P80" s="209"/>
      <c r="Q80" s="115">
        <v>2</v>
      </c>
      <c r="R80" s="116"/>
      <c r="S80" s="117" t="str">
        <f>IF(OR(T80="Preventivo",T80="Detectivo"),"Probabilidad",IF(T80="Correctivo","Impacto",""))</f>
        <v/>
      </c>
      <c r="T80" s="118"/>
      <c r="U80" s="118"/>
      <c r="V80" s="119" t="str">
        <f t="shared" ref="V80:V84" si="96">IF(AND(T80="Preventivo",U80="Automático"),"50%",IF(AND(T80="Preventivo",U80="Manual"),"40%",IF(AND(T80="Detectivo",U80="Automático"),"40%",IF(AND(T80="Detectivo",U80="Manual"),"30%",IF(AND(T80="Correctivo",U80="Automático"),"35%",IF(AND(T80="Correctivo",U80="Manual"),"25%",""))))))</f>
        <v/>
      </c>
      <c r="W80" s="118"/>
      <c r="X80" s="118"/>
      <c r="Y80" s="118"/>
      <c r="Z80" s="129" t="str">
        <f>IFERROR(IF(AND(S79="Probabilidad",S80="Probabilidad"),(AB79-(+AB79*V80)),IF(S80="Probabilidad",(K79-(+K79*V80)),IF(S80="Impacto",AB79,""))),"")</f>
        <v/>
      </c>
      <c r="AA80" s="121" t="str">
        <f t="shared" ref="AA80:AA84" si="97">IFERROR(IF(Z80="","",IF(Z80&lt;=0.2,"Muy Baja",IF(Z80&lt;=0.4,"Baja",IF(Z80&lt;=0.6,"Media",IF(Z80&lt;=0.8,"Alta","Muy Alta"))))),"")</f>
        <v/>
      </c>
      <c r="AB80" s="119" t="str">
        <f t="shared" ref="AB80:AB84" si="98">+Z80</f>
        <v/>
      </c>
      <c r="AC80" s="121" t="str">
        <f t="shared" ref="AC80:AC84" si="99">IFERROR(IF(AD80="","",IF(AD80&lt;=0.2,"Leve",IF(AD80&lt;=0.4,"Menor",IF(AD80&lt;=0.6,"Moderado",IF(AD80&lt;=0.8,"Mayor","Catastrófico"))))),"")</f>
        <v/>
      </c>
      <c r="AD80" s="119" t="str">
        <f>IFERROR(IF(AND(S79="Impacto",S80="Impacto"),(AD73-(+AD73*V80)),IF(S80="Impacto",($O$19-(+$O$19*V80)),IF(S80="Probabilidad",AD73,""))),"")</f>
        <v/>
      </c>
      <c r="AE80" s="122" t="str">
        <f t="shared" ref="AE80:AE81" si="100">IFERROR(IF(OR(AND(AA80="Muy Baja",AC80="Leve"),AND(AA80="Muy Baja",AC80="Menor"),AND(AA80="Baja",AC80="Leve")),"Bajo",IF(OR(AND(AA80="Muy baja",AC80="Moderado"),AND(AA80="Baja",AC80="Menor"),AND(AA80="Baja",AC80="Moderado"),AND(AA80="Media",AC80="Leve"),AND(AA80="Media",AC80="Menor"),AND(AA80="Media",AC80="Moderado"),AND(AA80="Alta",AC80="Leve"),AND(AA80="Alta",AC80="Menor")),"Moderado",IF(OR(AND(AA80="Muy Baja",AC80="Mayor"),AND(AA80="Baja",AC80="Mayor"),AND(AA80="Media",AC80="Mayor"),AND(AA80="Alta",AC80="Moderado"),AND(AA80="Alta",AC80="Mayor"),AND(AA80="Muy Alta",AC80="Leve"),AND(AA80="Muy Alta",AC80="Menor"),AND(AA80="Muy Alta",AC80="Moderado"),AND(AA80="Muy Alta",AC80="Mayor")),"Alto",IF(OR(AND(AA80="Muy Baja",AC80="Catastrófico"),AND(AA80="Baja",AC80="Catastrófico"),AND(AA80="Media",AC80="Catastrófico"),AND(AA80="Alta",AC80="Catastrófico"),AND(AA80="Muy Alta",AC80="Catastrófico")),"Extremo","")))),"")</f>
        <v/>
      </c>
      <c r="AF80" s="118"/>
      <c r="AG80" s="123"/>
      <c r="AH80" s="124"/>
      <c r="AI80" s="125"/>
      <c r="AJ80" s="125"/>
      <c r="AK80" s="123"/>
      <c r="AL80" s="124"/>
    </row>
    <row r="81" spans="1:38" x14ac:dyDescent="0.3">
      <c r="A81" s="210"/>
      <c r="B81" s="141"/>
      <c r="C81" s="141"/>
      <c r="D81" s="211"/>
      <c r="E81" s="201"/>
      <c r="F81" s="143"/>
      <c r="G81" s="211"/>
      <c r="H81" s="142"/>
      <c r="I81" s="212"/>
      <c r="J81" s="208"/>
      <c r="K81" s="207"/>
      <c r="L81" s="206"/>
      <c r="M81" s="207">
        <f t="shared" ca="1" si="95"/>
        <v>0</v>
      </c>
      <c r="N81" s="208"/>
      <c r="O81" s="207"/>
      <c r="P81" s="209"/>
      <c r="Q81" s="115">
        <v>3</v>
      </c>
      <c r="R81" s="128"/>
      <c r="S81" s="117" t="str">
        <f>IF(OR(T81="Preventivo",T81="Detectivo"),"Probabilidad",IF(T81="Correctivo","Impacto",""))</f>
        <v/>
      </c>
      <c r="T81" s="118"/>
      <c r="U81" s="118"/>
      <c r="V81" s="119" t="str">
        <f t="shared" si="96"/>
        <v/>
      </c>
      <c r="W81" s="118"/>
      <c r="X81" s="118"/>
      <c r="Y81" s="118"/>
      <c r="Z81" s="120" t="str">
        <f>IFERROR(IF(AND(S80="Probabilidad",S81="Probabilidad"),(AB80-(+AB80*V81)),IF(AND(S80="Impacto",S81="Probabilidad"),(AB79-(+AB79*V81)),IF(S81="Impacto",AB80,""))),"")</f>
        <v/>
      </c>
      <c r="AA81" s="121" t="str">
        <f t="shared" si="97"/>
        <v/>
      </c>
      <c r="AB81" s="119" t="str">
        <f t="shared" si="98"/>
        <v/>
      </c>
      <c r="AC81" s="121" t="str">
        <f t="shared" si="99"/>
        <v/>
      </c>
      <c r="AD81" s="119" t="str">
        <f>IFERROR(IF(AND(S80="Impacto",S81="Impacto"),(AD80-(+AD80*V81)),IF(AND(S80="Probabilidad",S81="Impacto"),(AD79-(+AD79*V81)),IF(S81="Probabilidad",AD80,""))),"")</f>
        <v/>
      </c>
      <c r="AE81" s="122" t="str">
        <f t="shared" si="100"/>
        <v/>
      </c>
      <c r="AF81" s="118"/>
      <c r="AG81" s="123"/>
      <c r="AH81" s="124"/>
      <c r="AI81" s="125"/>
      <c r="AJ81" s="125"/>
      <c r="AK81" s="123"/>
      <c r="AL81" s="124"/>
    </row>
    <row r="82" spans="1:38" x14ac:dyDescent="0.3">
      <c r="A82" s="210"/>
      <c r="B82" s="141"/>
      <c r="C82" s="141"/>
      <c r="D82" s="211"/>
      <c r="E82" s="201"/>
      <c r="F82" s="143"/>
      <c r="G82" s="211"/>
      <c r="H82" s="142"/>
      <c r="I82" s="212"/>
      <c r="J82" s="208"/>
      <c r="K82" s="207"/>
      <c r="L82" s="206"/>
      <c r="M82" s="207">
        <f t="shared" ca="1" si="95"/>
        <v>0</v>
      </c>
      <c r="N82" s="208"/>
      <c r="O82" s="207"/>
      <c r="P82" s="209"/>
      <c r="Q82" s="115">
        <v>4</v>
      </c>
      <c r="R82" s="116"/>
      <c r="S82" s="117" t="str">
        <f t="shared" ref="S82:S84" si="101">IF(OR(T82="Preventivo",T82="Detectivo"),"Probabilidad",IF(T82="Correctivo","Impacto",""))</f>
        <v/>
      </c>
      <c r="T82" s="118"/>
      <c r="U82" s="118"/>
      <c r="V82" s="119" t="str">
        <f t="shared" si="96"/>
        <v/>
      </c>
      <c r="W82" s="118"/>
      <c r="X82" s="118"/>
      <c r="Y82" s="118"/>
      <c r="Z82" s="120" t="str">
        <f t="shared" ref="Z82:Z84" si="102">IFERROR(IF(AND(S81="Probabilidad",S82="Probabilidad"),(AB81-(+AB81*V82)),IF(AND(S81="Impacto",S82="Probabilidad"),(AB80-(+AB80*V82)),IF(S82="Impacto",AB81,""))),"")</f>
        <v/>
      </c>
      <c r="AA82" s="121" t="str">
        <f t="shared" si="97"/>
        <v/>
      </c>
      <c r="AB82" s="119" t="str">
        <f t="shared" si="98"/>
        <v/>
      </c>
      <c r="AC82" s="121" t="str">
        <f t="shared" si="99"/>
        <v/>
      </c>
      <c r="AD82" s="119" t="str">
        <f t="shared" ref="AD82:AD84" si="103">IFERROR(IF(AND(S81="Impacto",S82="Impacto"),(AD81-(+AD81*V82)),IF(AND(S81="Probabilidad",S82="Impacto"),(AD80-(+AD80*V82)),IF(S82="Probabilidad",AD81,""))),"")</f>
        <v/>
      </c>
      <c r="AE82" s="122" t="str">
        <f>IFERROR(IF(OR(AND(AA82="Muy Baja",AC82="Leve"),AND(AA82="Muy Baja",AC82="Menor"),AND(AA82="Baja",AC82="Leve")),"Bajo",IF(OR(AND(AA82="Muy baja",AC82="Moderado"),AND(AA82="Baja",AC82="Menor"),AND(AA82="Baja",AC82="Moderado"),AND(AA82="Media",AC82="Leve"),AND(AA82="Media",AC82="Menor"),AND(AA82="Media",AC82="Moderado"),AND(AA82="Alta",AC82="Leve"),AND(AA82="Alta",AC82="Menor")),"Moderado",IF(OR(AND(AA82="Muy Baja",AC82="Mayor"),AND(AA82="Baja",AC82="Mayor"),AND(AA82="Media",AC82="Mayor"),AND(AA82="Alta",AC82="Moderado"),AND(AA82="Alta",AC82="Mayor"),AND(AA82="Muy Alta",AC82="Leve"),AND(AA82="Muy Alta",AC82="Menor"),AND(AA82="Muy Alta",AC82="Moderado"),AND(AA82="Muy Alta",AC82="Mayor")),"Alto",IF(OR(AND(AA82="Muy Baja",AC82="Catastrófico"),AND(AA82="Baja",AC82="Catastrófico"),AND(AA82="Media",AC82="Catastrófico"),AND(AA82="Alta",AC82="Catastrófico"),AND(AA82="Muy Alta",AC82="Catastrófico")),"Extremo","")))),"")</f>
        <v/>
      </c>
      <c r="AF82" s="118"/>
      <c r="AG82" s="123"/>
      <c r="AH82" s="124"/>
      <c r="AI82" s="125"/>
      <c r="AJ82" s="125"/>
      <c r="AK82" s="123"/>
      <c r="AL82" s="124"/>
    </row>
    <row r="83" spans="1:38" x14ac:dyDescent="0.3">
      <c r="A83" s="210"/>
      <c r="B83" s="141"/>
      <c r="C83" s="141"/>
      <c r="D83" s="211"/>
      <c r="E83" s="201"/>
      <c r="F83" s="143"/>
      <c r="G83" s="211"/>
      <c r="H83" s="142"/>
      <c r="I83" s="212"/>
      <c r="J83" s="208"/>
      <c r="K83" s="207"/>
      <c r="L83" s="206"/>
      <c r="M83" s="207">
        <f t="shared" ca="1" si="95"/>
        <v>0</v>
      </c>
      <c r="N83" s="208"/>
      <c r="O83" s="207"/>
      <c r="P83" s="209"/>
      <c r="Q83" s="115">
        <v>5</v>
      </c>
      <c r="R83" s="116"/>
      <c r="S83" s="117" t="str">
        <f t="shared" si="101"/>
        <v/>
      </c>
      <c r="T83" s="118"/>
      <c r="U83" s="118"/>
      <c r="V83" s="119" t="str">
        <f t="shared" si="96"/>
        <v/>
      </c>
      <c r="W83" s="118"/>
      <c r="X83" s="118"/>
      <c r="Y83" s="118"/>
      <c r="Z83" s="120" t="str">
        <f t="shared" si="102"/>
        <v/>
      </c>
      <c r="AA83" s="121" t="str">
        <f t="shared" si="97"/>
        <v/>
      </c>
      <c r="AB83" s="119" t="str">
        <f t="shared" si="98"/>
        <v/>
      </c>
      <c r="AC83" s="121" t="str">
        <f t="shared" si="99"/>
        <v/>
      </c>
      <c r="AD83" s="119" t="str">
        <f t="shared" si="103"/>
        <v/>
      </c>
      <c r="AE83" s="122" t="str">
        <f t="shared" ref="AE83:AE84" si="104">IFERROR(IF(OR(AND(AA83="Muy Baja",AC83="Leve"),AND(AA83="Muy Baja",AC83="Menor"),AND(AA83="Baja",AC83="Leve")),"Bajo",IF(OR(AND(AA83="Muy baja",AC83="Moderado"),AND(AA83="Baja",AC83="Menor"),AND(AA83="Baja",AC83="Moderado"),AND(AA83="Media",AC83="Leve"),AND(AA83="Media",AC83="Menor"),AND(AA83="Media",AC83="Moderado"),AND(AA83="Alta",AC83="Leve"),AND(AA83="Alta",AC83="Menor")),"Moderado",IF(OR(AND(AA83="Muy Baja",AC83="Mayor"),AND(AA83="Baja",AC83="Mayor"),AND(AA83="Media",AC83="Mayor"),AND(AA83="Alta",AC83="Moderado"),AND(AA83="Alta",AC83="Mayor"),AND(AA83="Muy Alta",AC83="Leve"),AND(AA83="Muy Alta",AC83="Menor"),AND(AA83="Muy Alta",AC83="Moderado"),AND(AA83="Muy Alta",AC83="Mayor")),"Alto",IF(OR(AND(AA83="Muy Baja",AC83="Catastrófico"),AND(AA83="Baja",AC83="Catastrófico"),AND(AA83="Media",AC83="Catastrófico"),AND(AA83="Alta",AC83="Catastrófico"),AND(AA83="Muy Alta",AC83="Catastrófico")),"Extremo","")))),"")</f>
        <v/>
      </c>
      <c r="AF83" s="118"/>
      <c r="AG83" s="123"/>
      <c r="AH83" s="124"/>
      <c r="AI83" s="125"/>
      <c r="AJ83" s="125"/>
      <c r="AK83" s="123"/>
      <c r="AL83" s="124"/>
    </row>
    <row r="84" spans="1:38" x14ac:dyDescent="0.3">
      <c r="A84" s="210"/>
      <c r="B84" s="141"/>
      <c r="C84" s="141"/>
      <c r="D84" s="211"/>
      <c r="E84" s="201"/>
      <c r="F84" s="143"/>
      <c r="G84" s="211"/>
      <c r="H84" s="142"/>
      <c r="I84" s="212"/>
      <c r="J84" s="208"/>
      <c r="K84" s="207"/>
      <c r="L84" s="206"/>
      <c r="M84" s="207">
        <f t="shared" ca="1" si="95"/>
        <v>0</v>
      </c>
      <c r="N84" s="208"/>
      <c r="O84" s="207"/>
      <c r="P84" s="209"/>
      <c r="Q84" s="115">
        <v>6</v>
      </c>
      <c r="R84" s="116"/>
      <c r="S84" s="117" t="str">
        <f t="shared" si="101"/>
        <v/>
      </c>
      <c r="T84" s="118"/>
      <c r="U84" s="118"/>
      <c r="V84" s="119" t="str">
        <f t="shared" si="96"/>
        <v/>
      </c>
      <c r="W84" s="118"/>
      <c r="X84" s="118"/>
      <c r="Y84" s="118"/>
      <c r="Z84" s="120" t="str">
        <f t="shared" si="102"/>
        <v/>
      </c>
      <c r="AA84" s="121" t="str">
        <f t="shared" si="97"/>
        <v/>
      </c>
      <c r="AB84" s="119" t="str">
        <f t="shared" si="98"/>
        <v/>
      </c>
      <c r="AC84" s="121" t="str">
        <f t="shared" si="99"/>
        <v/>
      </c>
      <c r="AD84" s="119" t="str">
        <f t="shared" si="103"/>
        <v/>
      </c>
      <c r="AE84" s="122" t="str">
        <f t="shared" si="104"/>
        <v/>
      </c>
      <c r="AF84" s="118"/>
      <c r="AG84" s="123"/>
      <c r="AH84" s="124"/>
      <c r="AI84" s="125"/>
      <c r="AJ84" s="125"/>
      <c r="AK84" s="123"/>
      <c r="AL84" s="124"/>
    </row>
    <row r="85" spans="1:38" x14ac:dyDescent="0.3">
      <c r="A85" s="210">
        <v>4</v>
      </c>
      <c r="B85" s="141"/>
      <c r="C85" s="141"/>
      <c r="D85" s="211"/>
      <c r="E85" s="201"/>
      <c r="F85" s="143"/>
      <c r="G85" s="211"/>
      <c r="H85" s="142"/>
      <c r="I85" s="212"/>
      <c r="J85" s="208" t="str">
        <f>IF(I85&lt;=0,"",IF(I85&lt;=2,"Muy Baja",IF(I85&lt;=24,"Baja",IF(I85&lt;=500,"Media",IF(I85&lt;=5000,"Alta","Muy Alta")))))</f>
        <v/>
      </c>
      <c r="K85" s="207" t="str">
        <f>IF(J85="","",IF(J85="Muy Baja",0.2,IF(J85="Baja",0.4,IF(J85="Media",0.6,IF(J85="Alta",0.8,IF(J85="Muy Alta",1,))))))</f>
        <v/>
      </c>
      <c r="L85" s="206"/>
      <c r="M85" s="207">
        <f ca="1">IF(NOT(ISERROR(MATCH(L85,'Tabla Impacto'!$B$221:$B$223,0))),'Tabla Impacto'!$F$223&amp;"Por favor no seleccionar los criterios de impacto(Afectación Económica o presupuestal y Pérdida Reputacional)",L85)</f>
        <v>0</v>
      </c>
      <c r="N85" s="208" t="str">
        <f ca="1">IF(OR(M85='Tabla Impacto'!$C$11,M85='Tabla Impacto'!$D$11),"Leve",IF(OR(M85='Tabla Impacto'!$C$12,M85='Tabla Impacto'!$D$12),"Menor",IF(OR(M85='Tabla Impacto'!$C$13,M85='Tabla Impacto'!$D$13),"Moderado",IF(OR(M85='Tabla Impacto'!$C$14,M85='Tabla Impacto'!$D$14),"Mayor",IF(OR(M85='Tabla Impacto'!$C$15,M85='Tabla Impacto'!$D$15),"Catastrófico","")))))</f>
        <v/>
      </c>
      <c r="O85" s="207" t="str">
        <f ca="1">IF(N85="","",IF(N85="Leve",0.2,IF(N85="Menor",0.4,IF(N85="Moderado",0.6,IF(N85="Mayor",0.8,IF(N85="Catastrófico",1,))))))</f>
        <v/>
      </c>
      <c r="P85" s="209" t="str">
        <f ca="1">IF(OR(AND(J85="Muy Baja",N85="Leve"),AND(J85="Muy Baja",N85="Menor"),AND(J85="Baja",N85="Leve")),"Bajo",IF(OR(AND(J85="Muy baja",N85="Moderado"),AND(J85="Baja",N85="Menor"),AND(J85="Baja",N85="Moderado"),AND(J85="Media",N85="Leve"),AND(J85="Media",N85="Menor"),AND(J85="Media",N85="Moderado"),AND(J85="Alta",N85="Leve"),AND(J85="Alta",N85="Menor")),"Moderado",IF(OR(AND(J85="Muy Baja",N85="Mayor"),AND(J85="Baja",N85="Mayor"),AND(J85="Media",N85="Mayor"),AND(J85="Alta",N85="Moderado"),AND(J85="Alta",N85="Mayor"),AND(J85="Muy Alta",N85="Leve"),AND(J85="Muy Alta",N85="Menor"),AND(J85="Muy Alta",N85="Moderado"),AND(J85="Muy Alta",N85="Mayor")),"Alto",IF(OR(AND(J85="Muy Baja",N85="Catastrófico"),AND(J85="Baja",N85="Catastrófico"),AND(J85="Media",N85="Catastrófico"),AND(J85="Alta",N85="Catastrófico"),AND(J85="Muy Alta",N85="Catastrófico")),"Extremo",""))))</f>
        <v/>
      </c>
      <c r="Q85" s="115">
        <v>1</v>
      </c>
      <c r="R85" s="116"/>
      <c r="S85" s="117" t="str">
        <f>IF(OR(T85="Preventivo",T85="Detectivo"),"Probabilidad",IF(T85="Correctivo","Impacto",""))</f>
        <v/>
      </c>
      <c r="T85" s="118"/>
      <c r="U85" s="118"/>
      <c r="V85" s="119" t="str">
        <f>IF(AND(T85="Preventivo",U85="Automático"),"50%",IF(AND(T85="Preventivo",U85="Manual"),"40%",IF(AND(T85="Detectivo",U85="Automático"),"40%",IF(AND(T85="Detectivo",U85="Manual"),"30%",IF(AND(T85="Correctivo",U85="Automático"),"35%",IF(AND(T85="Correctivo",U85="Manual"),"25%",""))))))</f>
        <v/>
      </c>
      <c r="W85" s="118"/>
      <c r="X85" s="118"/>
      <c r="Y85" s="118"/>
      <c r="Z85" s="120" t="str">
        <f>IFERROR(IF(S85="Probabilidad",(K85-(+K85*V85)),IF(S85="Impacto",K85,"")),"")</f>
        <v/>
      </c>
      <c r="AA85" s="121" t="str">
        <f>IFERROR(IF(Z85="","",IF(Z85&lt;=0.2,"Muy Baja",IF(Z85&lt;=0.4,"Baja",IF(Z85&lt;=0.6,"Media",IF(Z85&lt;=0.8,"Alta","Muy Alta"))))),"")</f>
        <v/>
      </c>
      <c r="AB85" s="119" t="str">
        <f>+Z85</f>
        <v/>
      </c>
      <c r="AC85" s="121" t="str">
        <f>IFERROR(IF(AD85="","",IF(AD85&lt;=0.2,"Leve",IF(AD85&lt;=0.4,"Menor",IF(AD85&lt;=0.6,"Moderado",IF(AD85&lt;=0.8,"Mayor","Catastrófico"))))),"")</f>
        <v/>
      </c>
      <c r="AD85" s="119" t="str">
        <f>IFERROR(IF(S85="Impacto",(O85-(+O85*V85)),IF(S85="Probabilidad",O85,"")),"")</f>
        <v/>
      </c>
      <c r="AE85" s="122" t="str">
        <f>IFERROR(IF(OR(AND(AA85="Muy Baja",AC85="Leve"),AND(AA85="Muy Baja",AC85="Menor"),AND(AA85="Baja",AC85="Leve")),"Bajo",IF(OR(AND(AA85="Muy baja",AC85="Moderado"),AND(AA85="Baja",AC85="Menor"),AND(AA85="Baja",AC85="Moderado"),AND(AA85="Media",AC85="Leve"),AND(AA85="Media",AC85="Menor"),AND(AA85="Media",AC85="Moderado"),AND(AA85="Alta",AC85="Leve"),AND(AA85="Alta",AC85="Menor")),"Moderado",IF(OR(AND(AA85="Muy Baja",AC85="Mayor"),AND(AA85="Baja",AC85="Mayor"),AND(AA85="Media",AC85="Mayor"),AND(AA85="Alta",AC85="Moderado"),AND(AA85="Alta",AC85="Mayor"),AND(AA85="Muy Alta",AC85="Leve"),AND(AA85="Muy Alta",AC85="Menor"),AND(AA85="Muy Alta",AC85="Moderado"),AND(AA85="Muy Alta",AC85="Mayor")),"Alto",IF(OR(AND(AA85="Muy Baja",AC85="Catastrófico"),AND(AA85="Baja",AC85="Catastrófico"),AND(AA85="Media",AC85="Catastrófico"),AND(AA85="Alta",AC85="Catastrófico"),AND(AA85="Muy Alta",AC85="Catastrófico")),"Extremo","")))),"")</f>
        <v/>
      </c>
      <c r="AF85" s="118"/>
      <c r="AG85" s="123"/>
      <c r="AH85" s="124"/>
      <c r="AI85" s="125"/>
      <c r="AJ85" s="125"/>
      <c r="AK85" s="123"/>
      <c r="AL85" s="124"/>
    </row>
    <row r="86" spans="1:38" x14ac:dyDescent="0.3">
      <c r="A86" s="210"/>
      <c r="B86" s="141"/>
      <c r="C86" s="141"/>
      <c r="D86" s="211"/>
      <c r="E86" s="201"/>
      <c r="F86" s="143"/>
      <c r="G86" s="211"/>
      <c r="H86" s="142"/>
      <c r="I86" s="212"/>
      <c r="J86" s="208"/>
      <c r="K86" s="207"/>
      <c r="L86" s="206"/>
      <c r="M86" s="207">
        <f t="shared" ref="M86:M90" ca="1" si="105">IF(NOT(ISERROR(MATCH(L86,_xlfn.ANCHORARRAY(E97),0))),K99&amp;"Por favor no seleccionar los criterios de impacto",L86)</f>
        <v>0</v>
      </c>
      <c r="N86" s="208"/>
      <c r="O86" s="207"/>
      <c r="P86" s="209"/>
      <c r="Q86" s="115">
        <v>2</v>
      </c>
      <c r="R86" s="116"/>
      <c r="S86" s="117" t="str">
        <f>IF(OR(T86="Preventivo",T86="Detectivo"),"Probabilidad",IF(T86="Correctivo","Impacto",""))</f>
        <v/>
      </c>
      <c r="T86" s="118"/>
      <c r="U86" s="118"/>
      <c r="V86" s="119" t="str">
        <f t="shared" ref="V86:V90" si="106">IF(AND(T86="Preventivo",U86="Automático"),"50%",IF(AND(T86="Preventivo",U86="Manual"),"40%",IF(AND(T86="Detectivo",U86="Automático"),"40%",IF(AND(T86="Detectivo",U86="Manual"),"30%",IF(AND(T86="Correctivo",U86="Automático"),"35%",IF(AND(T86="Correctivo",U86="Manual"),"25%",""))))))</f>
        <v/>
      </c>
      <c r="W86" s="118"/>
      <c r="X86" s="118"/>
      <c r="Y86" s="118"/>
      <c r="Z86" s="120" t="str">
        <f>IFERROR(IF(AND(S85="Probabilidad",S86="Probabilidad"),(AB85-(+AB85*V86)),IF(S86="Probabilidad",(K85-(+K85*V86)),IF(S86="Impacto",AB85,""))),"")</f>
        <v/>
      </c>
      <c r="AA86" s="121" t="str">
        <f t="shared" ref="AA86:AA88" si="107">IFERROR(IF(Z86="","",IF(Z86&lt;=0.2,"Muy Baja",IF(Z86&lt;=0.4,"Baja",IF(Z86&lt;=0.6,"Media",IF(Z86&lt;=0.8,"Alta","Muy Alta"))))),"")</f>
        <v/>
      </c>
      <c r="AB86" s="119" t="str">
        <f t="shared" ref="AB86:AB90" si="108">+Z86</f>
        <v/>
      </c>
      <c r="AC86" s="121" t="str">
        <f t="shared" ref="AC86:AC90" si="109">IFERROR(IF(AD86="","",IF(AD86&lt;=0.2,"Leve",IF(AD86&lt;=0.4,"Menor",IF(AD86&lt;=0.6,"Moderado",IF(AD86&lt;=0.8,"Mayor","Catastrófico"))))),"")</f>
        <v/>
      </c>
      <c r="AD86" s="119" t="str">
        <f>IFERROR(IF(AND(S85="Impacto",S86="Impacto"),(AD79-(+AD79*V86)),IF(S86="Impacto",($O$25-(+$O$25*V86)),IF(S86="Probabilidad",AD79,""))),"")</f>
        <v/>
      </c>
      <c r="AE86" s="122" t="str">
        <f t="shared" ref="AE86:AE87" si="110">IFERROR(IF(OR(AND(AA86="Muy Baja",AC86="Leve"),AND(AA86="Muy Baja",AC86="Menor"),AND(AA86="Baja",AC86="Leve")),"Bajo",IF(OR(AND(AA86="Muy baja",AC86="Moderado"),AND(AA86="Baja",AC86="Menor"),AND(AA86="Baja",AC86="Moderado"),AND(AA86="Media",AC86="Leve"),AND(AA86="Media",AC86="Menor"),AND(AA86="Media",AC86="Moderado"),AND(AA86="Alta",AC86="Leve"),AND(AA86="Alta",AC86="Menor")),"Moderado",IF(OR(AND(AA86="Muy Baja",AC86="Mayor"),AND(AA86="Baja",AC86="Mayor"),AND(AA86="Media",AC86="Mayor"),AND(AA86="Alta",AC86="Moderado"),AND(AA86="Alta",AC86="Mayor"),AND(AA86="Muy Alta",AC86="Leve"),AND(AA86="Muy Alta",AC86="Menor"),AND(AA86="Muy Alta",AC86="Moderado"),AND(AA86="Muy Alta",AC86="Mayor")),"Alto",IF(OR(AND(AA86="Muy Baja",AC86="Catastrófico"),AND(AA86="Baja",AC86="Catastrófico"),AND(AA86="Media",AC86="Catastrófico"),AND(AA86="Alta",AC86="Catastrófico"),AND(AA86="Muy Alta",AC86="Catastrófico")),"Extremo","")))),"")</f>
        <v/>
      </c>
      <c r="AF86" s="118"/>
      <c r="AG86" s="123"/>
      <c r="AH86" s="124"/>
      <c r="AI86" s="125"/>
      <c r="AJ86" s="125"/>
      <c r="AK86" s="123"/>
      <c r="AL86" s="124"/>
    </row>
    <row r="87" spans="1:38" x14ac:dyDescent="0.3">
      <c r="A87" s="210"/>
      <c r="B87" s="141"/>
      <c r="C87" s="141"/>
      <c r="D87" s="211"/>
      <c r="E87" s="201"/>
      <c r="F87" s="143"/>
      <c r="G87" s="211"/>
      <c r="H87" s="142"/>
      <c r="I87" s="212"/>
      <c r="J87" s="208"/>
      <c r="K87" s="207"/>
      <c r="L87" s="206"/>
      <c r="M87" s="207">
        <f t="shared" ca="1" si="105"/>
        <v>0</v>
      </c>
      <c r="N87" s="208"/>
      <c r="O87" s="207"/>
      <c r="P87" s="209"/>
      <c r="Q87" s="115">
        <v>3</v>
      </c>
      <c r="R87" s="128"/>
      <c r="S87" s="117" t="str">
        <f>IF(OR(T87="Preventivo",T87="Detectivo"),"Probabilidad",IF(T87="Correctivo","Impacto",""))</f>
        <v/>
      </c>
      <c r="T87" s="118"/>
      <c r="U87" s="118"/>
      <c r="V87" s="119" t="str">
        <f t="shared" si="106"/>
        <v/>
      </c>
      <c r="W87" s="118"/>
      <c r="X87" s="118"/>
      <c r="Y87" s="118"/>
      <c r="Z87" s="120" t="str">
        <f>IFERROR(IF(AND(S86="Probabilidad",S87="Probabilidad"),(AB86-(+AB86*V87)),IF(AND(S86="Impacto",S87="Probabilidad"),(AB85-(+AB85*V87)),IF(S87="Impacto",AB86,""))),"")</f>
        <v/>
      </c>
      <c r="AA87" s="121" t="str">
        <f t="shared" si="107"/>
        <v/>
      </c>
      <c r="AB87" s="119" t="str">
        <f t="shared" si="108"/>
        <v/>
      </c>
      <c r="AC87" s="121" t="str">
        <f t="shared" si="109"/>
        <v/>
      </c>
      <c r="AD87" s="119" t="str">
        <f>IFERROR(IF(AND(S86="Impacto",S87="Impacto"),(AD86-(+AD86*V87)),IF(AND(S86="Probabilidad",S87="Impacto"),(AD85-(+AD85*V87)),IF(S87="Probabilidad",AD86,""))),"")</f>
        <v/>
      </c>
      <c r="AE87" s="122" t="str">
        <f t="shared" si="110"/>
        <v/>
      </c>
      <c r="AF87" s="118"/>
      <c r="AG87" s="123"/>
      <c r="AH87" s="124"/>
      <c r="AI87" s="125"/>
      <c r="AJ87" s="125"/>
      <c r="AK87" s="123"/>
      <c r="AL87" s="124"/>
    </row>
    <row r="88" spans="1:38" x14ac:dyDescent="0.3">
      <c r="A88" s="210"/>
      <c r="B88" s="141"/>
      <c r="C88" s="141"/>
      <c r="D88" s="211"/>
      <c r="E88" s="201"/>
      <c r="F88" s="143"/>
      <c r="G88" s="211"/>
      <c r="H88" s="142"/>
      <c r="I88" s="212"/>
      <c r="J88" s="208"/>
      <c r="K88" s="207"/>
      <c r="L88" s="206"/>
      <c r="M88" s="207">
        <f t="shared" ca="1" si="105"/>
        <v>0</v>
      </c>
      <c r="N88" s="208"/>
      <c r="O88" s="207"/>
      <c r="P88" s="209"/>
      <c r="Q88" s="115">
        <v>4</v>
      </c>
      <c r="R88" s="116"/>
      <c r="S88" s="117" t="str">
        <f t="shared" ref="S88:S90" si="111">IF(OR(T88="Preventivo",T88="Detectivo"),"Probabilidad",IF(T88="Correctivo","Impacto",""))</f>
        <v/>
      </c>
      <c r="T88" s="118"/>
      <c r="U88" s="118"/>
      <c r="V88" s="119" t="str">
        <f t="shared" si="106"/>
        <v/>
      </c>
      <c r="W88" s="118"/>
      <c r="X88" s="118"/>
      <c r="Y88" s="118"/>
      <c r="Z88" s="120" t="str">
        <f t="shared" ref="Z88:Z90" si="112">IFERROR(IF(AND(S87="Probabilidad",S88="Probabilidad"),(AB87-(+AB87*V88)),IF(AND(S87="Impacto",S88="Probabilidad"),(AB86-(+AB86*V88)),IF(S88="Impacto",AB87,""))),"")</f>
        <v/>
      </c>
      <c r="AA88" s="121" t="str">
        <f t="shared" si="107"/>
        <v/>
      </c>
      <c r="AB88" s="119" t="str">
        <f t="shared" si="108"/>
        <v/>
      </c>
      <c r="AC88" s="121" t="str">
        <f t="shared" si="109"/>
        <v/>
      </c>
      <c r="AD88" s="119" t="str">
        <f t="shared" ref="AD88:AD90" si="113">IFERROR(IF(AND(S87="Impacto",S88="Impacto"),(AD87-(+AD87*V88)),IF(AND(S87="Probabilidad",S88="Impacto"),(AD86-(+AD86*V88)),IF(S88="Probabilidad",AD87,""))),"")</f>
        <v/>
      </c>
      <c r="AE88" s="122" t="str">
        <f>IFERROR(IF(OR(AND(AA88="Muy Baja",AC88="Leve"),AND(AA88="Muy Baja",AC88="Menor"),AND(AA88="Baja",AC88="Leve")),"Bajo",IF(OR(AND(AA88="Muy baja",AC88="Moderado"),AND(AA88="Baja",AC88="Menor"),AND(AA88="Baja",AC88="Moderado"),AND(AA88="Media",AC88="Leve"),AND(AA88="Media",AC88="Menor"),AND(AA88="Media",AC88="Moderado"),AND(AA88="Alta",AC88="Leve"),AND(AA88="Alta",AC88="Menor")),"Moderado",IF(OR(AND(AA88="Muy Baja",AC88="Mayor"),AND(AA88="Baja",AC88="Mayor"),AND(AA88="Media",AC88="Mayor"),AND(AA88="Alta",AC88="Moderado"),AND(AA88="Alta",AC88="Mayor"),AND(AA88="Muy Alta",AC88="Leve"),AND(AA88="Muy Alta",AC88="Menor"),AND(AA88="Muy Alta",AC88="Moderado"),AND(AA88="Muy Alta",AC88="Mayor")),"Alto",IF(OR(AND(AA88="Muy Baja",AC88="Catastrófico"),AND(AA88="Baja",AC88="Catastrófico"),AND(AA88="Media",AC88="Catastrófico"),AND(AA88="Alta",AC88="Catastrófico"),AND(AA88="Muy Alta",AC88="Catastrófico")),"Extremo","")))),"")</f>
        <v/>
      </c>
      <c r="AF88" s="118"/>
      <c r="AG88" s="123"/>
      <c r="AH88" s="124"/>
      <c r="AI88" s="125"/>
      <c r="AJ88" s="125"/>
      <c r="AK88" s="123"/>
      <c r="AL88" s="124"/>
    </row>
    <row r="89" spans="1:38" x14ac:dyDescent="0.3">
      <c r="A89" s="210"/>
      <c r="B89" s="141"/>
      <c r="C89" s="141"/>
      <c r="D89" s="211"/>
      <c r="E89" s="201"/>
      <c r="F89" s="143"/>
      <c r="G89" s="211"/>
      <c r="H89" s="142"/>
      <c r="I89" s="212"/>
      <c r="J89" s="208"/>
      <c r="K89" s="207"/>
      <c r="L89" s="206"/>
      <c r="M89" s="207">
        <f t="shared" ca="1" si="105"/>
        <v>0</v>
      </c>
      <c r="N89" s="208"/>
      <c r="O89" s="207"/>
      <c r="P89" s="209"/>
      <c r="Q89" s="115">
        <v>5</v>
      </c>
      <c r="R89" s="116"/>
      <c r="S89" s="117" t="str">
        <f t="shared" si="111"/>
        <v/>
      </c>
      <c r="T89" s="118"/>
      <c r="U89" s="118"/>
      <c r="V89" s="119" t="str">
        <f t="shared" si="106"/>
        <v/>
      </c>
      <c r="W89" s="118"/>
      <c r="X89" s="118"/>
      <c r="Y89" s="118"/>
      <c r="Z89" s="129" t="str">
        <f t="shared" si="112"/>
        <v/>
      </c>
      <c r="AA89" s="121" t="str">
        <f>IFERROR(IF(Z89="","",IF(Z89&lt;=0.2,"Muy Baja",IF(Z89&lt;=0.4,"Baja",IF(Z89&lt;=0.6,"Media",IF(Z89&lt;=0.8,"Alta","Muy Alta"))))),"")</f>
        <v/>
      </c>
      <c r="AB89" s="119" t="str">
        <f t="shared" si="108"/>
        <v/>
      </c>
      <c r="AC89" s="121" t="str">
        <f t="shared" si="109"/>
        <v/>
      </c>
      <c r="AD89" s="119" t="str">
        <f t="shared" si="113"/>
        <v/>
      </c>
      <c r="AE89" s="122" t="str">
        <f t="shared" ref="AE89:AE90" si="114">IFERROR(IF(OR(AND(AA89="Muy Baja",AC89="Leve"),AND(AA89="Muy Baja",AC89="Menor"),AND(AA89="Baja",AC89="Leve")),"Bajo",IF(OR(AND(AA89="Muy baja",AC89="Moderado"),AND(AA89="Baja",AC89="Menor"),AND(AA89="Baja",AC89="Moderado"),AND(AA89="Media",AC89="Leve"),AND(AA89="Media",AC89="Menor"),AND(AA89="Media",AC89="Moderado"),AND(AA89="Alta",AC89="Leve"),AND(AA89="Alta",AC89="Menor")),"Moderado",IF(OR(AND(AA89="Muy Baja",AC89="Mayor"),AND(AA89="Baja",AC89="Mayor"),AND(AA89="Media",AC89="Mayor"),AND(AA89="Alta",AC89="Moderado"),AND(AA89="Alta",AC89="Mayor"),AND(AA89="Muy Alta",AC89="Leve"),AND(AA89="Muy Alta",AC89="Menor"),AND(AA89="Muy Alta",AC89="Moderado"),AND(AA89="Muy Alta",AC89="Mayor")),"Alto",IF(OR(AND(AA89="Muy Baja",AC89="Catastrófico"),AND(AA89="Baja",AC89="Catastrófico"),AND(AA89="Media",AC89="Catastrófico"),AND(AA89="Alta",AC89="Catastrófico"),AND(AA89="Muy Alta",AC89="Catastrófico")),"Extremo","")))),"")</f>
        <v/>
      </c>
      <c r="AF89" s="118"/>
      <c r="AG89" s="123"/>
      <c r="AH89" s="124"/>
      <c r="AI89" s="125"/>
      <c r="AJ89" s="125"/>
      <c r="AK89" s="123"/>
      <c r="AL89" s="124"/>
    </row>
    <row r="90" spans="1:38" x14ac:dyDescent="0.3">
      <c r="A90" s="210"/>
      <c r="B90" s="141"/>
      <c r="C90" s="141"/>
      <c r="D90" s="211"/>
      <c r="E90" s="201"/>
      <c r="F90" s="143"/>
      <c r="G90" s="211"/>
      <c r="H90" s="142"/>
      <c r="I90" s="212"/>
      <c r="J90" s="208"/>
      <c r="K90" s="207"/>
      <c r="L90" s="206"/>
      <c r="M90" s="207">
        <f t="shared" ca="1" si="105"/>
        <v>0</v>
      </c>
      <c r="N90" s="208"/>
      <c r="O90" s="207"/>
      <c r="P90" s="209"/>
      <c r="Q90" s="115">
        <v>6</v>
      </c>
      <c r="R90" s="116"/>
      <c r="S90" s="117" t="str">
        <f t="shared" si="111"/>
        <v/>
      </c>
      <c r="T90" s="118"/>
      <c r="U90" s="118"/>
      <c r="V90" s="119" t="str">
        <f t="shared" si="106"/>
        <v/>
      </c>
      <c r="W90" s="118"/>
      <c r="X90" s="118"/>
      <c r="Y90" s="118"/>
      <c r="Z90" s="120" t="str">
        <f t="shared" si="112"/>
        <v/>
      </c>
      <c r="AA90" s="121" t="str">
        <f t="shared" ref="AA90" si="115">IFERROR(IF(Z90="","",IF(Z90&lt;=0.2,"Muy Baja",IF(Z90&lt;=0.4,"Baja",IF(Z90&lt;=0.6,"Media",IF(Z90&lt;=0.8,"Alta","Muy Alta"))))),"")</f>
        <v/>
      </c>
      <c r="AB90" s="119" t="str">
        <f t="shared" si="108"/>
        <v/>
      </c>
      <c r="AC90" s="121" t="str">
        <f t="shared" si="109"/>
        <v/>
      </c>
      <c r="AD90" s="119" t="str">
        <f t="shared" si="113"/>
        <v/>
      </c>
      <c r="AE90" s="122" t="str">
        <f t="shared" si="114"/>
        <v/>
      </c>
      <c r="AF90" s="118"/>
      <c r="AG90" s="123"/>
      <c r="AH90" s="124"/>
      <c r="AI90" s="125"/>
      <c r="AJ90" s="125"/>
      <c r="AK90" s="123"/>
      <c r="AL90" s="124"/>
    </row>
    <row r="91" spans="1:38" x14ac:dyDescent="0.3">
      <c r="A91" s="210">
        <v>5</v>
      </c>
      <c r="B91" s="141"/>
      <c r="C91" s="141"/>
      <c r="D91" s="211"/>
      <c r="E91" s="201"/>
      <c r="F91" s="143"/>
      <c r="G91" s="211"/>
      <c r="H91" s="142"/>
      <c r="I91" s="212"/>
      <c r="J91" s="208" t="str">
        <f>IF(I91&lt;=0,"",IF(I91&lt;=2,"Muy Baja",IF(I91&lt;=24,"Baja",IF(I91&lt;=500,"Media",IF(I91&lt;=5000,"Alta","Muy Alta")))))</f>
        <v/>
      </c>
      <c r="K91" s="207" t="str">
        <f>IF(J91="","",IF(J91="Muy Baja",0.2,IF(J91="Baja",0.4,IF(J91="Media",0.6,IF(J91="Alta",0.8,IF(J91="Muy Alta",1,))))))</f>
        <v/>
      </c>
      <c r="L91" s="206"/>
      <c r="M91" s="207">
        <f ca="1">IF(NOT(ISERROR(MATCH(L91,'Tabla Impacto'!$B$221:$B$223,0))),'Tabla Impacto'!$F$223&amp;"Por favor no seleccionar los criterios de impacto(Afectación Económica o presupuestal y Pérdida Reputacional)",L91)</f>
        <v>0</v>
      </c>
      <c r="N91" s="208" t="str">
        <f ca="1">IF(OR(M91='Tabla Impacto'!$C$11,M91='Tabla Impacto'!$D$11),"Leve",IF(OR(M91='Tabla Impacto'!$C$12,M91='Tabla Impacto'!$D$12),"Menor",IF(OR(M91='Tabla Impacto'!$C$13,M91='Tabla Impacto'!$D$13),"Moderado",IF(OR(M91='Tabla Impacto'!$C$14,M91='Tabla Impacto'!$D$14),"Mayor",IF(OR(M91='Tabla Impacto'!$C$15,M91='Tabla Impacto'!$D$15),"Catastrófico","")))))</f>
        <v/>
      </c>
      <c r="O91" s="207" t="str">
        <f ca="1">IF(N91="","",IF(N91="Leve",0.2,IF(N91="Menor",0.4,IF(N91="Moderado",0.6,IF(N91="Mayor",0.8,IF(N91="Catastrófico",1,))))))</f>
        <v/>
      </c>
      <c r="P91" s="209" t="str">
        <f ca="1">IF(OR(AND(J91="Muy Baja",N91="Leve"),AND(J91="Muy Baja",N91="Menor"),AND(J91="Baja",N91="Leve")),"Bajo",IF(OR(AND(J91="Muy baja",N91="Moderado"),AND(J91="Baja",N91="Menor"),AND(J91="Baja",N91="Moderado"),AND(J91="Media",N91="Leve"),AND(J91="Media",N91="Menor"),AND(J91="Media",N91="Moderado"),AND(J91="Alta",N91="Leve"),AND(J91="Alta",N91="Menor")),"Moderado",IF(OR(AND(J91="Muy Baja",N91="Mayor"),AND(J91="Baja",N91="Mayor"),AND(J91="Media",N91="Mayor"),AND(J91="Alta",N91="Moderado"),AND(J91="Alta",N91="Mayor"),AND(J91="Muy Alta",N91="Leve"),AND(J91="Muy Alta",N91="Menor"),AND(J91="Muy Alta",N91="Moderado"),AND(J91="Muy Alta",N91="Mayor")),"Alto",IF(OR(AND(J91="Muy Baja",N91="Catastrófico"),AND(J91="Baja",N91="Catastrófico"),AND(J91="Media",N91="Catastrófico"),AND(J91="Alta",N91="Catastrófico"),AND(J91="Muy Alta",N91="Catastrófico")),"Extremo",""))))</f>
        <v/>
      </c>
      <c r="Q91" s="115">
        <v>1</v>
      </c>
      <c r="R91" s="116"/>
      <c r="S91" s="117" t="str">
        <f>IF(OR(T91="Preventivo",T91="Detectivo"),"Probabilidad",IF(T91="Correctivo","Impacto",""))</f>
        <v/>
      </c>
      <c r="T91" s="118"/>
      <c r="U91" s="118"/>
      <c r="V91" s="119" t="str">
        <f>IF(AND(T91="Preventivo",U91="Automático"),"50%",IF(AND(T91="Preventivo",U91="Manual"),"40%",IF(AND(T91="Detectivo",U91="Automático"),"40%",IF(AND(T91="Detectivo",U91="Manual"),"30%",IF(AND(T91="Correctivo",U91="Automático"),"35%",IF(AND(T91="Correctivo",U91="Manual"),"25%",""))))))</f>
        <v/>
      </c>
      <c r="W91" s="118"/>
      <c r="X91" s="118"/>
      <c r="Y91" s="118"/>
      <c r="Z91" s="120" t="str">
        <f>IFERROR(IF(S91="Probabilidad",(K91-(+K91*V91)),IF(S91="Impacto",K91,"")),"")</f>
        <v/>
      </c>
      <c r="AA91" s="121" t="str">
        <f>IFERROR(IF(Z91="","",IF(Z91&lt;=0.2,"Muy Baja",IF(Z91&lt;=0.4,"Baja",IF(Z91&lt;=0.6,"Media",IF(Z91&lt;=0.8,"Alta","Muy Alta"))))),"")</f>
        <v/>
      </c>
      <c r="AB91" s="119" t="str">
        <f>+Z91</f>
        <v/>
      </c>
      <c r="AC91" s="121" t="str">
        <f>IFERROR(IF(AD91="","",IF(AD91&lt;=0.2,"Leve",IF(AD91&lt;=0.4,"Menor",IF(AD91&lt;=0.6,"Moderado",IF(AD91&lt;=0.8,"Mayor","Catastrófico"))))),"")</f>
        <v/>
      </c>
      <c r="AD91" s="119" t="str">
        <f>IFERROR(IF(S91="Impacto",(O91-(+O91*V91)),IF(S91="Probabilidad",O91,"")),"")</f>
        <v/>
      </c>
      <c r="AE91" s="122" t="str">
        <f>IFERROR(IF(OR(AND(AA91="Muy Baja",AC91="Leve"),AND(AA91="Muy Baja",AC91="Menor"),AND(AA91="Baja",AC91="Leve")),"Bajo",IF(OR(AND(AA91="Muy baja",AC91="Moderado"),AND(AA91="Baja",AC91="Menor"),AND(AA91="Baja",AC91="Moderado"),AND(AA91="Media",AC91="Leve"),AND(AA91="Media",AC91="Menor"),AND(AA91="Media",AC91="Moderado"),AND(AA91="Alta",AC91="Leve"),AND(AA91="Alta",AC91="Menor")),"Moderado",IF(OR(AND(AA91="Muy Baja",AC91="Mayor"),AND(AA91="Baja",AC91="Mayor"),AND(AA91="Media",AC91="Mayor"),AND(AA91="Alta",AC91="Moderado"),AND(AA91="Alta",AC91="Mayor"),AND(AA91="Muy Alta",AC91="Leve"),AND(AA91="Muy Alta",AC91="Menor"),AND(AA91="Muy Alta",AC91="Moderado"),AND(AA91="Muy Alta",AC91="Mayor")),"Alto",IF(OR(AND(AA91="Muy Baja",AC91="Catastrófico"),AND(AA91="Baja",AC91="Catastrófico"),AND(AA91="Media",AC91="Catastrófico"),AND(AA91="Alta",AC91="Catastrófico"),AND(AA91="Muy Alta",AC91="Catastrófico")),"Extremo","")))),"")</f>
        <v/>
      </c>
      <c r="AF91" s="118"/>
      <c r="AG91" s="123"/>
      <c r="AH91" s="124"/>
      <c r="AI91" s="125"/>
      <c r="AJ91" s="125"/>
      <c r="AK91" s="123"/>
      <c r="AL91" s="124"/>
    </row>
    <row r="92" spans="1:38" x14ac:dyDescent="0.3">
      <c r="A92" s="210"/>
      <c r="B92" s="141"/>
      <c r="C92" s="141"/>
      <c r="D92" s="211"/>
      <c r="E92" s="201"/>
      <c r="F92" s="143"/>
      <c r="G92" s="211"/>
      <c r="H92" s="142"/>
      <c r="I92" s="212"/>
      <c r="J92" s="208"/>
      <c r="K92" s="207"/>
      <c r="L92" s="206"/>
      <c r="M92" s="207">
        <f t="shared" ref="M92:M96" ca="1" si="116">IF(NOT(ISERROR(MATCH(L92,_xlfn.ANCHORARRAY(E103),0))),K105&amp;"Por favor no seleccionar los criterios de impacto",L92)</f>
        <v>0</v>
      </c>
      <c r="N92" s="208"/>
      <c r="O92" s="207"/>
      <c r="P92" s="209"/>
      <c r="Q92" s="115">
        <v>2</v>
      </c>
      <c r="R92" s="116"/>
      <c r="S92" s="117" t="str">
        <f>IF(OR(T92="Preventivo",T92="Detectivo"),"Probabilidad",IF(T92="Correctivo","Impacto",""))</f>
        <v/>
      </c>
      <c r="T92" s="118"/>
      <c r="U92" s="118"/>
      <c r="V92" s="119" t="str">
        <f t="shared" ref="V92:V96" si="117">IF(AND(T92="Preventivo",U92="Automático"),"50%",IF(AND(T92="Preventivo",U92="Manual"),"40%",IF(AND(T92="Detectivo",U92="Automático"),"40%",IF(AND(T92="Detectivo",U92="Manual"),"30%",IF(AND(T92="Correctivo",U92="Automático"),"35%",IF(AND(T92="Correctivo",U92="Manual"),"25%",""))))))</f>
        <v/>
      </c>
      <c r="W92" s="118"/>
      <c r="X92" s="118"/>
      <c r="Y92" s="118"/>
      <c r="Z92" s="120" t="str">
        <f>IFERROR(IF(AND(S91="Probabilidad",S92="Probabilidad"),(AB91-(+AB91*V92)),IF(S92="Probabilidad",(K91-(+K91*V92)),IF(S92="Impacto",AB91,""))),"")</f>
        <v/>
      </c>
      <c r="AA92" s="121" t="str">
        <f t="shared" ref="AA92:AA96" si="118">IFERROR(IF(Z92="","",IF(Z92&lt;=0.2,"Muy Baja",IF(Z92&lt;=0.4,"Baja",IF(Z92&lt;=0.6,"Media",IF(Z92&lt;=0.8,"Alta","Muy Alta"))))),"")</f>
        <v/>
      </c>
      <c r="AB92" s="119" t="str">
        <f t="shared" ref="AB92:AB96" si="119">+Z92</f>
        <v/>
      </c>
      <c r="AC92" s="121" t="str">
        <f t="shared" ref="AC92:AC96" si="120">IFERROR(IF(AD92="","",IF(AD92&lt;=0.2,"Leve",IF(AD92&lt;=0.4,"Menor",IF(AD92&lt;=0.6,"Moderado",IF(AD92&lt;=0.8,"Mayor","Catastrófico"))))),"")</f>
        <v/>
      </c>
      <c r="AD92" s="119" t="str">
        <f>IFERROR(IF(AND(S91="Impacto",S92="Impacto"),(AD85-(+AD85*V92)),IF(S92="Impacto",($O$31-(+$O$31*V92)),IF(S92="Probabilidad",AD85,""))),"")</f>
        <v/>
      </c>
      <c r="AE92" s="122" t="str">
        <f t="shared" ref="AE92:AE93" si="121">IFERROR(IF(OR(AND(AA92="Muy Baja",AC92="Leve"),AND(AA92="Muy Baja",AC92="Menor"),AND(AA92="Baja",AC92="Leve")),"Bajo",IF(OR(AND(AA92="Muy baja",AC92="Moderado"),AND(AA92="Baja",AC92="Menor"),AND(AA92="Baja",AC92="Moderado"),AND(AA92="Media",AC92="Leve"),AND(AA92="Media",AC92="Menor"),AND(AA92="Media",AC92="Moderado"),AND(AA92="Alta",AC92="Leve"),AND(AA92="Alta",AC92="Menor")),"Moderado",IF(OR(AND(AA92="Muy Baja",AC92="Mayor"),AND(AA92="Baja",AC92="Mayor"),AND(AA92="Media",AC92="Mayor"),AND(AA92="Alta",AC92="Moderado"),AND(AA92="Alta",AC92="Mayor"),AND(AA92="Muy Alta",AC92="Leve"),AND(AA92="Muy Alta",AC92="Menor"),AND(AA92="Muy Alta",AC92="Moderado"),AND(AA92="Muy Alta",AC92="Mayor")),"Alto",IF(OR(AND(AA92="Muy Baja",AC92="Catastrófico"),AND(AA92="Baja",AC92="Catastrófico"),AND(AA92="Media",AC92="Catastrófico"),AND(AA92="Alta",AC92="Catastrófico"),AND(AA92="Muy Alta",AC92="Catastrófico")),"Extremo","")))),"")</f>
        <v/>
      </c>
      <c r="AF92" s="118"/>
      <c r="AG92" s="123"/>
      <c r="AH92" s="124"/>
      <c r="AI92" s="125"/>
      <c r="AJ92" s="125"/>
      <c r="AK92" s="123"/>
      <c r="AL92" s="124"/>
    </row>
    <row r="93" spans="1:38" x14ac:dyDescent="0.3">
      <c r="A93" s="210"/>
      <c r="B93" s="141"/>
      <c r="C93" s="141"/>
      <c r="D93" s="211"/>
      <c r="E93" s="201"/>
      <c r="F93" s="143"/>
      <c r="G93" s="211"/>
      <c r="H93" s="142"/>
      <c r="I93" s="212"/>
      <c r="J93" s="208"/>
      <c r="K93" s="207"/>
      <c r="L93" s="206"/>
      <c r="M93" s="207">
        <f t="shared" ca="1" si="116"/>
        <v>0</v>
      </c>
      <c r="N93" s="208"/>
      <c r="O93" s="207"/>
      <c r="P93" s="209"/>
      <c r="Q93" s="115">
        <v>3</v>
      </c>
      <c r="R93" s="128"/>
      <c r="S93" s="117" t="str">
        <f>IF(OR(T93="Preventivo",T93="Detectivo"),"Probabilidad",IF(T93="Correctivo","Impacto",""))</f>
        <v/>
      </c>
      <c r="T93" s="118"/>
      <c r="U93" s="118"/>
      <c r="V93" s="119" t="str">
        <f t="shared" si="117"/>
        <v/>
      </c>
      <c r="W93" s="118"/>
      <c r="X93" s="118"/>
      <c r="Y93" s="118"/>
      <c r="Z93" s="120" t="str">
        <f>IFERROR(IF(AND(S92="Probabilidad",S93="Probabilidad"),(AB92-(+AB92*V93)),IF(AND(S92="Impacto",S93="Probabilidad"),(AB91-(+AB91*V93)),IF(S93="Impacto",AB92,""))),"")</f>
        <v/>
      </c>
      <c r="AA93" s="121" t="str">
        <f t="shared" si="118"/>
        <v/>
      </c>
      <c r="AB93" s="119" t="str">
        <f t="shared" si="119"/>
        <v/>
      </c>
      <c r="AC93" s="121" t="str">
        <f t="shared" si="120"/>
        <v/>
      </c>
      <c r="AD93" s="119" t="str">
        <f>IFERROR(IF(AND(S92="Impacto",S93="Impacto"),(AD92-(+AD92*V93)),IF(AND(S92="Probabilidad",S93="Impacto"),(AD91-(+AD91*V93)),IF(S93="Probabilidad",AD92,""))),"")</f>
        <v/>
      </c>
      <c r="AE93" s="122" t="str">
        <f t="shared" si="121"/>
        <v/>
      </c>
      <c r="AF93" s="118"/>
      <c r="AG93" s="123"/>
      <c r="AH93" s="124"/>
      <c r="AI93" s="125"/>
      <c r="AJ93" s="125"/>
      <c r="AK93" s="123"/>
      <c r="AL93" s="124"/>
    </row>
    <row r="94" spans="1:38" x14ac:dyDescent="0.3">
      <c r="A94" s="210"/>
      <c r="B94" s="141"/>
      <c r="C94" s="141"/>
      <c r="D94" s="211"/>
      <c r="E94" s="201"/>
      <c r="F94" s="143"/>
      <c r="G94" s="211"/>
      <c r="H94" s="142"/>
      <c r="I94" s="212"/>
      <c r="J94" s="208"/>
      <c r="K94" s="207"/>
      <c r="L94" s="206"/>
      <c r="M94" s="207">
        <f t="shared" ca="1" si="116"/>
        <v>0</v>
      </c>
      <c r="N94" s="208"/>
      <c r="O94" s="207"/>
      <c r="P94" s="209"/>
      <c r="Q94" s="115">
        <v>4</v>
      </c>
      <c r="R94" s="116"/>
      <c r="S94" s="117" t="str">
        <f t="shared" ref="S94:S96" si="122">IF(OR(T94="Preventivo",T94="Detectivo"),"Probabilidad",IF(T94="Correctivo","Impacto",""))</f>
        <v/>
      </c>
      <c r="T94" s="118"/>
      <c r="U94" s="118"/>
      <c r="V94" s="119" t="str">
        <f t="shared" si="117"/>
        <v/>
      </c>
      <c r="W94" s="118"/>
      <c r="X94" s="118"/>
      <c r="Y94" s="118"/>
      <c r="Z94" s="120" t="str">
        <f t="shared" ref="Z94:Z96" si="123">IFERROR(IF(AND(S93="Probabilidad",S94="Probabilidad"),(AB93-(+AB93*V94)),IF(AND(S93="Impacto",S94="Probabilidad"),(AB92-(+AB92*V94)),IF(S94="Impacto",AB93,""))),"")</f>
        <v/>
      </c>
      <c r="AA94" s="121" t="str">
        <f t="shared" si="118"/>
        <v/>
      </c>
      <c r="AB94" s="119" t="str">
        <f t="shared" si="119"/>
        <v/>
      </c>
      <c r="AC94" s="121" t="str">
        <f t="shared" si="120"/>
        <v/>
      </c>
      <c r="AD94" s="119" t="str">
        <f t="shared" ref="AD94:AD96" si="124">IFERROR(IF(AND(S93="Impacto",S94="Impacto"),(AD93-(+AD93*V94)),IF(AND(S93="Probabilidad",S94="Impacto"),(AD92-(+AD92*V94)),IF(S94="Probabilidad",AD93,""))),"")</f>
        <v/>
      </c>
      <c r="AE94" s="122" t="str">
        <f>IFERROR(IF(OR(AND(AA94="Muy Baja",AC94="Leve"),AND(AA94="Muy Baja",AC94="Menor"),AND(AA94="Baja",AC94="Leve")),"Bajo",IF(OR(AND(AA94="Muy baja",AC94="Moderado"),AND(AA94="Baja",AC94="Menor"),AND(AA94="Baja",AC94="Moderado"),AND(AA94="Media",AC94="Leve"),AND(AA94="Media",AC94="Menor"),AND(AA94="Media",AC94="Moderado"),AND(AA94="Alta",AC94="Leve"),AND(AA94="Alta",AC94="Menor")),"Moderado",IF(OR(AND(AA94="Muy Baja",AC94="Mayor"),AND(AA94="Baja",AC94="Mayor"),AND(AA94="Media",AC94="Mayor"),AND(AA94="Alta",AC94="Moderado"),AND(AA94="Alta",AC94="Mayor"),AND(AA94="Muy Alta",AC94="Leve"),AND(AA94="Muy Alta",AC94="Menor"),AND(AA94="Muy Alta",AC94="Moderado"),AND(AA94="Muy Alta",AC94="Mayor")),"Alto",IF(OR(AND(AA94="Muy Baja",AC94="Catastrófico"),AND(AA94="Baja",AC94="Catastrófico"),AND(AA94="Media",AC94="Catastrófico"),AND(AA94="Alta",AC94="Catastrófico"),AND(AA94="Muy Alta",AC94="Catastrófico")),"Extremo","")))),"")</f>
        <v/>
      </c>
      <c r="AF94" s="118"/>
      <c r="AG94" s="123"/>
      <c r="AH94" s="124"/>
      <c r="AI94" s="125"/>
      <c r="AJ94" s="125"/>
      <c r="AK94" s="123"/>
      <c r="AL94" s="124"/>
    </row>
    <row r="95" spans="1:38" x14ac:dyDescent="0.3">
      <c r="A95" s="210"/>
      <c r="B95" s="141"/>
      <c r="C95" s="141"/>
      <c r="D95" s="211"/>
      <c r="E95" s="201"/>
      <c r="F95" s="143"/>
      <c r="G95" s="211"/>
      <c r="H95" s="142"/>
      <c r="I95" s="212"/>
      <c r="J95" s="208"/>
      <c r="K95" s="207"/>
      <c r="L95" s="206"/>
      <c r="M95" s="207">
        <f t="shared" ca="1" si="116"/>
        <v>0</v>
      </c>
      <c r="N95" s="208"/>
      <c r="O95" s="207"/>
      <c r="P95" s="209"/>
      <c r="Q95" s="115">
        <v>5</v>
      </c>
      <c r="R95" s="116"/>
      <c r="S95" s="117" t="str">
        <f t="shared" si="122"/>
        <v/>
      </c>
      <c r="T95" s="118"/>
      <c r="U95" s="118"/>
      <c r="V95" s="119" t="str">
        <f t="shared" si="117"/>
        <v/>
      </c>
      <c r="W95" s="118"/>
      <c r="X95" s="118"/>
      <c r="Y95" s="118"/>
      <c r="Z95" s="120" t="str">
        <f t="shared" si="123"/>
        <v/>
      </c>
      <c r="AA95" s="121" t="str">
        <f t="shared" si="118"/>
        <v/>
      </c>
      <c r="AB95" s="119" t="str">
        <f t="shared" si="119"/>
        <v/>
      </c>
      <c r="AC95" s="121" t="str">
        <f t="shared" si="120"/>
        <v/>
      </c>
      <c r="AD95" s="119" t="str">
        <f t="shared" si="124"/>
        <v/>
      </c>
      <c r="AE95" s="122" t="str">
        <f t="shared" ref="AE95:AE96" si="125">IFERROR(IF(OR(AND(AA95="Muy Baja",AC95="Leve"),AND(AA95="Muy Baja",AC95="Menor"),AND(AA95="Baja",AC95="Leve")),"Bajo",IF(OR(AND(AA95="Muy baja",AC95="Moderado"),AND(AA95="Baja",AC95="Menor"),AND(AA95="Baja",AC95="Moderado"),AND(AA95="Media",AC95="Leve"),AND(AA95="Media",AC95="Menor"),AND(AA95="Media",AC95="Moderado"),AND(AA95="Alta",AC95="Leve"),AND(AA95="Alta",AC95="Menor")),"Moderado",IF(OR(AND(AA95="Muy Baja",AC95="Mayor"),AND(AA95="Baja",AC95="Mayor"),AND(AA95="Media",AC95="Mayor"),AND(AA95="Alta",AC95="Moderado"),AND(AA95="Alta",AC95="Mayor"),AND(AA95="Muy Alta",AC95="Leve"),AND(AA95="Muy Alta",AC95="Menor"),AND(AA95="Muy Alta",AC95="Moderado"),AND(AA95="Muy Alta",AC95="Mayor")),"Alto",IF(OR(AND(AA95="Muy Baja",AC95="Catastrófico"),AND(AA95="Baja",AC95="Catastrófico"),AND(AA95="Media",AC95="Catastrófico"),AND(AA95="Alta",AC95="Catastrófico"),AND(AA95="Muy Alta",AC95="Catastrófico")),"Extremo","")))),"")</f>
        <v/>
      </c>
      <c r="AF95" s="118"/>
      <c r="AG95" s="123"/>
      <c r="AH95" s="124"/>
      <c r="AI95" s="125"/>
      <c r="AJ95" s="125"/>
      <c r="AK95" s="123"/>
      <c r="AL95" s="124"/>
    </row>
    <row r="96" spans="1:38" x14ac:dyDescent="0.3">
      <c r="A96" s="210"/>
      <c r="B96" s="141"/>
      <c r="C96" s="141"/>
      <c r="D96" s="211"/>
      <c r="E96" s="201"/>
      <c r="F96" s="143"/>
      <c r="G96" s="211"/>
      <c r="H96" s="142"/>
      <c r="I96" s="212"/>
      <c r="J96" s="208"/>
      <c r="K96" s="207"/>
      <c r="L96" s="206"/>
      <c r="M96" s="207">
        <f t="shared" ca="1" si="116"/>
        <v>0</v>
      </c>
      <c r="N96" s="208"/>
      <c r="O96" s="207"/>
      <c r="P96" s="209"/>
      <c r="Q96" s="115">
        <v>6</v>
      </c>
      <c r="R96" s="116"/>
      <c r="S96" s="117" t="str">
        <f t="shared" si="122"/>
        <v/>
      </c>
      <c r="T96" s="118"/>
      <c r="U96" s="118"/>
      <c r="V96" s="119" t="str">
        <f t="shared" si="117"/>
        <v/>
      </c>
      <c r="W96" s="118"/>
      <c r="X96" s="118"/>
      <c r="Y96" s="118"/>
      <c r="Z96" s="120" t="str">
        <f t="shared" si="123"/>
        <v/>
      </c>
      <c r="AA96" s="121" t="str">
        <f t="shared" si="118"/>
        <v/>
      </c>
      <c r="AB96" s="119" t="str">
        <f t="shared" si="119"/>
        <v/>
      </c>
      <c r="AC96" s="121" t="str">
        <f t="shared" si="120"/>
        <v/>
      </c>
      <c r="AD96" s="119" t="str">
        <f t="shared" si="124"/>
        <v/>
      </c>
      <c r="AE96" s="122" t="str">
        <f t="shared" si="125"/>
        <v/>
      </c>
      <c r="AF96" s="118"/>
      <c r="AG96" s="123"/>
      <c r="AH96" s="124"/>
      <c r="AI96" s="125"/>
      <c r="AJ96" s="125"/>
      <c r="AK96" s="123"/>
      <c r="AL96" s="124"/>
    </row>
    <row r="97" spans="1:38" x14ac:dyDescent="0.3">
      <c r="A97" s="210">
        <v>6</v>
      </c>
      <c r="B97" s="141"/>
      <c r="C97" s="141"/>
      <c r="D97" s="211"/>
      <c r="E97" s="201"/>
      <c r="F97" s="143"/>
      <c r="G97" s="211"/>
      <c r="H97" s="142"/>
      <c r="I97" s="212"/>
      <c r="J97" s="208" t="str">
        <f>IF(I97&lt;=0,"",IF(I97&lt;=2,"Muy Baja",IF(I97&lt;=24,"Baja",IF(I97&lt;=500,"Media",IF(I97&lt;=5000,"Alta","Muy Alta")))))</f>
        <v/>
      </c>
      <c r="K97" s="207" t="str">
        <f>IF(J97="","",IF(J97="Muy Baja",0.2,IF(J97="Baja",0.4,IF(J97="Media",0.6,IF(J97="Alta",0.8,IF(J97="Muy Alta",1,))))))</f>
        <v/>
      </c>
      <c r="L97" s="206"/>
      <c r="M97" s="207">
        <f ca="1">IF(NOT(ISERROR(MATCH(L97,'Tabla Impacto'!$B$221:$B$223,0))),'Tabla Impacto'!$F$223&amp;"Por favor no seleccionar los criterios de impacto(Afectación Económica o presupuestal y Pérdida Reputacional)",L97)</f>
        <v>0</v>
      </c>
      <c r="N97" s="208" t="str">
        <f ca="1">IF(OR(M97='Tabla Impacto'!$C$11,M97='Tabla Impacto'!$D$11),"Leve",IF(OR(M97='Tabla Impacto'!$C$12,M97='Tabla Impacto'!$D$12),"Menor",IF(OR(M97='Tabla Impacto'!$C$13,M97='Tabla Impacto'!$D$13),"Moderado",IF(OR(M97='Tabla Impacto'!$C$14,M97='Tabla Impacto'!$D$14),"Mayor",IF(OR(M97='Tabla Impacto'!$C$15,M97='Tabla Impacto'!$D$15),"Catastrófico","")))))</f>
        <v/>
      </c>
      <c r="O97" s="207" t="str">
        <f ca="1">IF(N97="","",IF(N97="Leve",0.2,IF(N97="Menor",0.4,IF(N97="Moderado",0.6,IF(N97="Mayor",0.8,IF(N97="Catastrófico",1,))))))</f>
        <v/>
      </c>
      <c r="P97" s="209" t="str">
        <f ca="1">IF(OR(AND(J97="Muy Baja",N97="Leve"),AND(J97="Muy Baja",N97="Menor"),AND(J97="Baja",N97="Leve")),"Bajo",IF(OR(AND(J97="Muy baja",N97="Moderado"),AND(J97="Baja",N97="Menor"),AND(J97="Baja",N97="Moderado"),AND(J97="Media",N97="Leve"),AND(J97="Media",N97="Menor"),AND(J97="Media",N97="Moderado"),AND(J97="Alta",N97="Leve"),AND(J97="Alta",N97="Menor")),"Moderado",IF(OR(AND(J97="Muy Baja",N97="Mayor"),AND(J97="Baja",N97="Mayor"),AND(J97="Media",N97="Mayor"),AND(J97="Alta",N97="Moderado"),AND(J97="Alta",N97="Mayor"),AND(J97="Muy Alta",N97="Leve"),AND(J97="Muy Alta",N97="Menor"),AND(J97="Muy Alta",N97="Moderado"),AND(J97="Muy Alta",N97="Mayor")),"Alto",IF(OR(AND(J97="Muy Baja",N97="Catastrófico"),AND(J97="Baja",N97="Catastrófico"),AND(J97="Media",N97="Catastrófico"),AND(J97="Alta",N97="Catastrófico"),AND(J97="Muy Alta",N97="Catastrófico")),"Extremo",""))))</f>
        <v/>
      </c>
      <c r="Q97" s="115">
        <v>1</v>
      </c>
      <c r="R97" s="116"/>
      <c r="S97" s="117" t="str">
        <f>IF(OR(T97="Preventivo",T97="Detectivo"),"Probabilidad",IF(T97="Correctivo","Impacto",""))</f>
        <v/>
      </c>
      <c r="T97" s="118"/>
      <c r="U97" s="118"/>
      <c r="V97" s="119" t="str">
        <f>IF(AND(T97="Preventivo",U97="Automático"),"50%",IF(AND(T97="Preventivo",U97="Manual"),"40%",IF(AND(T97="Detectivo",U97="Automático"),"40%",IF(AND(T97="Detectivo",U97="Manual"),"30%",IF(AND(T97="Correctivo",U97="Automático"),"35%",IF(AND(T97="Correctivo",U97="Manual"),"25%",""))))))</f>
        <v/>
      </c>
      <c r="W97" s="118"/>
      <c r="X97" s="118"/>
      <c r="Y97" s="118"/>
      <c r="Z97" s="120" t="str">
        <f>IFERROR(IF(S97="Probabilidad",(K97-(+K97*V97)),IF(S97="Impacto",K97,"")),"")</f>
        <v/>
      </c>
      <c r="AA97" s="121" t="str">
        <f>IFERROR(IF(Z97="","",IF(Z97&lt;=0.2,"Muy Baja",IF(Z97&lt;=0.4,"Baja",IF(Z97&lt;=0.6,"Media",IF(Z97&lt;=0.8,"Alta","Muy Alta"))))),"")</f>
        <v/>
      </c>
      <c r="AB97" s="119" t="str">
        <f>+Z97</f>
        <v/>
      </c>
      <c r="AC97" s="121" t="str">
        <f>IFERROR(IF(AD97="","",IF(AD97&lt;=0.2,"Leve",IF(AD97&lt;=0.4,"Menor",IF(AD97&lt;=0.6,"Moderado",IF(AD97&lt;=0.8,"Mayor","Catastrófico"))))),"")</f>
        <v/>
      </c>
      <c r="AD97" s="119" t="str">
        <f>IFERROR(IF(S97="Impacto",(O97-(+O97*V97)),IF(S97="Probabilidad",O97,"")),"")</f>
        <v/>
      </c>
      <c r="AE97" s="122" t="str">
        <f>IFERROR(IF(OR(AND(AA97="Muy Baja",AC97="Leve"),AND(AA97="Muy Baja",AC97="Menor"),AND(AA97="Baja",AC97="Leve")),"Bajo",IF(OR(AND(AA97="Muy baja",AC97="Moderado"),AND(AA97="Baja",AC97="Menor"),AND(AA97="Baja",AC97="Moderado"),AND(AA97="Media",AC97="Leve"),AND(AA97="Media",AC97="Menor"),AND(AA97="Media",AC97="Moderado"),AND(AA97="Alta",AC97="Leve"),AND(AA97="Alta",AC97="Menor")),"Moderado",IF(OR(AND(AA97="Muy Baja",AC97="Mayor"),AND(AA97="Baja",AC97="Mayor"),AND(AA97="Media",AC97="Mayor"),AND(AA97="Alta",AC97="Moderado"),AND(AA97="Alta",AC97="Mayor"),AND(AA97="Muy Alta",AC97="Leve"),AND(AA97="Muy Alta",AC97="Menor"),AND(AA97="Muy Alta",AC97="Moderado"),AND(AA97="Muy Alta",AC97="Mayor")),"Alto",IF(OR(AND(AA97="Muy Baja",AC97="Catastrófico"),AND(AA97="Baja",AC97="Catastrófico"),AND(AA97="Media",AC97="Catastrófico"),AND(AA97="Alta",AC97="Catastrófico"),AND(AA97="Muy Alta",AC97="Catastrófico")),"Extremo","")))),"")</f>
        <v/>
      </c>
      <c r="AF97" s="118"/>
      <c r="AG97" s="123"/>
      <c r="AH97" s="124"/>
      <c r="AI97" s="125"/>
      <c r="AJ97" s="125"/>
      <c r="AK97" s="123"/>
      <c r="AL97" s="124"/>
    </row>
    <row r="98" spans="1:38" x14ac:dyDescent="0.3">
      <c r="A98" s="210"/>
      <c r="B98" s="141"/>
      <c r="C98" s="141"/>
      <c r="D98" s="211"/>
      <c r="E98" s="201"/>
      <c r="F98" s="143"/>
      <c r="G98" s="211"/>
      <c r="H98" s="142"/>
      <c r="I98" s="212"/>
      <c r="J98" s="208"/>
      <c r="K98" s="207"/>
      <c r="L98" s="206"/>
      <c r="M98" s="207">
        <f t="shared" ref="M98:M102" ca="1" si="126">IF(NOT(ISERROR(MATCH(L98,_xlfn.ANCHORARRAY(E109),0))),K111&amp;"Por favor no seleccionar los criterios de impacto",L98)</f>
        <v>0</v>
      </c>
      <c r="N98" s="208"/>
      <c r="O98" s="207"/>
      <c r="P98" s="209"/>
      <c r="Q98" s="115">
        <v>2</v>
      </c>
      <c r="R98" s="116"/>
      <c r="S98" s="117" t="str">
        <f>IF(OR(T98="Preventivo",T98="Detectivo"),"Probabilidad",IF(T98="Correctivo","Impacto",""))</f>
        <v/>
      </c>
      <c r="T98" s="118"/>
      <c r="U98" s="118"/>
      <c r="V98" s="119" t="str">
        <f t="shared" ref="V98:V102" si="127">IF(AND(T98="Preventivo",U98="Automático"),"50%",IF(AND(T98="Preventivo",U98="Manual"),"40%",IF(AND(T98="Detectivo",U98="Automático"),"40%",IF(AND(T98="Detectivo",U98="Manual"),"30%",IF(AND(T98="Correctivo",U98="Automático"),"35%",IF(AND(T98="Correctivo",U98="Manual"),"25%",""))))))</f>
        <v/>
      </c>
      <c r="W98" s="118"/>
      <c r="X98" s="118"/>
      <c r="Y98" s="118"/>
      <c r="Z98" s="120" t="str">
        <f>IFERROR(IF(AND(S97="Probabilidad",S98="Probabilidad"),(AB97-(+AB97*V98)),IF(S98="Probabilidad",(K97-(+K97*V98)),IF(S98="Impacto",AB97,""))),"")</f>
        <v/>
      </c>
      <c r="AA98" s="121" t="str">
        <f t="shared" ref="AA98:AA102" si="128">IFERROR(IF(Z98="","",IF(Z98&lt;=0.2,"Muy Baja",IF(Z98&lt;=0.4,"Baja",IF(Z98&lt;=0.6,"Media",IF(Z98&lt;=0.8,"Alta","Muy Alta"))))),"")</f>
        <v/>
      </c>
      <c r="AB98" s="119" t="str">
        <f t="shared" ref="AB98:AB102" si="129">+Z98</f>
        <v/>
      </c>
      <c r="AC98" s="121" t="str">
        <f t="shared" ref="AC98:AC101" si="130">IFERROR(IF(AD98="","",IF(AD98&lt;=0.2,"Leve",IF(AD98&lt;=0.4,"Menor",IF(AD98&lt;=0.6,"Moderado",IF(AD98&lt;=0.8,"Mayor","Catastrófico"))))),"")</f>
        <v/>
      </c>
      <c r="AD98" s="119" t="str">
        <f>IFERROR(IF(AND(S97="Impacto",S98="Impacto"),(AD91-(+AD91*V98)),IF(S98="Impacto",($O$37-(+$O$37*V98)),IF(S98="Probabilidad",AD91,""))),"")</f>
        <v/>
      </c>
      <c r="AE98" s="122" t="str">
        <f t="shared" ref="AE98:AE99" si="131">IFERROR(IF(OR(AND(AA98="Muy Baja",AC98="Leve"),AND(AA98="Muy Baja",AC98="Menor"),AND(AA98="Baja",AC98="Leve")),"Bajo",IF(OR(AND(AA98="Muy baja",AC98="Moderado"),AND(AA98="Baja",AC98="Menor"),AND(AA98="Baja",AC98="Moderado"),AND(AA98="Media",AC98="Leve"),AND(AA98="Media",AC98="Menor"),AND(AA98="Media",AC98="Moderado"),AND(AA98="Alta",AC98="Leve"),AND(AA98="Alta",AC98="Menor")),"Moderado",IF(OR(AND(AA98="Muy Baja",AC98="Mayor"),AND(AA98="Baja",AC98="Mayor"),AND(AA98="Media",AC98="Mayor"),AND(AA98="Alta",AC98="Moderado"),AND(AA98="Alta",AC98="Mayor"),AND(AA98="Muy Alta",AC98="Leve"),AND(AA98="Muy Alta",AC98="Menor"),AND(AA98="Muy Alta",AC98="Moderado"),AND(AA98="Muy Alta",AC98="Mayor")),"Alto",IF(OR(AND(AA98="Muy Baja",AC98="Catastrófico"),AND(AA98="Baja",AC98="Catastrófico"),AND(AA98="Media",AC98="Catastrófico"),AND(AA98="Alta",AC98="Catastrófico"),AND(AA98="Muy Alta",AC98="Catastrófico")),"Extremo","")))),"")</f>
        <v/>
      </c>
      <c r="AF98" s="118"/>
      <c r="AG98" s="123"/>
      <c r="AH98" s="124"/>
      <c r="AI98" s="125"/>
      <c r="AJ98" s="125"/>
      <c r="AK98" s="123"/>
      <c r="AL98" s="124"/>
    </row>
    <row r="99" spans="1:38" x14ac:dyDescent="0.3">
      <c r="A99" s="210"/>
      <c r="B99" s="141"/>
      <c r="C99" s="141"/>
      <c r="D99" s="211"/>
      <c r="E99" s="201"/>
      <c r="F99" s="143"/>
      <c r="G99" s="211"/>
      <c r="H99" s="142"/>
      <c r="I99" s="212"/>
      <c r="J99" s="208"/>
      <c r="K99" s="207"/>
      <c r="L99" s="206"/>
      <c r="M99" s="207">
        <f t="shared" ca="1" si="126"/>
        <v>0</v>
      </c>
      <c r="N99" s="208"/>
      <c r="O99" s="207"/>
      <c r="P99" s="209"/>
      <c r="Q99" s="115">
        <v>3</v>
      </c>
      <c r="R99" s="128"/>
      <c r="S99" s="117" t="str">
        <f>IF(OR(T99="Preventivo",T99="Detectivo"),"Probabilidad",IF(T99="Correctivo","Impacto",""))</f>
        <v/>
      </c>
      <c r="T99" s="118"/>
      <c r="U99" s="118"/>
      <c r="V99" s="119" t="str">
        <f t="shared" si="127"/>
        <v/>
      </c>
      <c r="W99" s="118"/>
      <c r="X99" s="118"/>
      <c r="Y99" s="118"/>
      <c r="Z99" s="120" t="str">
        <f>IFERROR(IF(AND(S98="Probabilidad",S99="Probabilidad"),(AB98-(+AB98*V99)),IF(AND(S98="Impacto",S99="Probabilidad"),(AB97-(+AB97*V99)),IF(S99="Impacto",AB98,""))),"")</f>
        <v/>
      </c>
      <c r="AA99" s="121" t="str">
        <f t="shared" si="128"/>
        <v/>
      </c>
      <c r="AB99" s="119" t="str">
        <f t="shared" si="129"/>
        <v/>
      </c>
      <c r="AC99" s="121" t="str">
        <f t="shared" si="130"/>
        <v/>
      </c>
      <c r="AD99" s="119" t="str">
        <f>IFERROR(IF(AND(S98="Impacto",S99="Impacto"),(AD98-(+AD98*V99)),IF(AND(S98="Probabilidad",S99="Impacto"),(AD97-(+AD97*V99)),IF(S99="Probabilidad",AD98,""))),"")</f>
        <v/>
      </c>
      <c r="AE99" s="122" t="str">
        <f t="shared" si="131"/>
        <v/>
      </c>
      <c r="AF99" s="118"/>
      <c r="AG99" s="123"/>
      <c r="AH99" s="124"/>
      <c r="AI99" s="125"/>
      <c r="AJ99" s="125"/>
      <c r="AK99" s="123"/>
      <c r="AL99" s="124"/>
    </row>
    <row r="100" spans="1:38" x14ac:dyDescent="0.3">
      <c r="A100" s="210"/>
      <c r="B100" s="141"/>
      <c r="C100" s="141"/>
      <c r="D100" s="211"/>
      <c r="E100" s="201"/>
      <c r="F100" s="143"/>
      <c r="G100" s="211"/>
      <c r="H100" s="142"/>
      <c r="I100" s="212"/>
      <c r="J100" s="208"/>
      <c r="K100" s="207"/>
      <c r="L100" s="206"/>
      <c r="M100" s="207">
        <f t="shared" ca="1" si="126"/>
        <v>0</v>
      </c>
      <c r="N100" s="208"/>
      <c r="O100" s="207"/>
      <c r="P100" s="209"/>
      <c r="Q100" s="115">
        <v>4</v>
      </c>
      <c r="R100" s="116"/>
      <c r="S100" s="117" t="str">
        <f t="shared" ref="S100:S102" si="132">IF(OR(T100="Preventivo",T100="Detectivo"),"Probabilidad",IF(T100="Correctivo","Impacto",""))</f>
        <v/>
      </c>
      <c r="T100" s="118"/>
      <c r="U100" s="118"/>
      <c r="V100" s="119" t="str">
        <f t="shared" si="127"/>
        <v/>
      </c>
      <c r="W100" s="118"/>
      <c r="X100" s="118"/>
      <c r="Y100" s="118"/>
      <c r="Z100" s="120" t="str">
        <f t="shared" ref="Z100:Z102" si="133">IFERROR(IF(AND(S99="Probabilidad",S100="Probabilidad"),(AB99-(+AB99*V100)),IF(AND(S99="Impacto",S100="Probabilidad"),(AB98-(+AB98*V100)),IF(S100="Impacto",AB99,""))),"")</f>
        <v/>
      </c>
      <c r="AA100" s="121" t="str">
        <f t="shared" si="128"/>
        <v/>
      </c>
      <c r="AB100" s="119" t="str">
        <f t="shared" si="129"/>
        <v/>
      </c>
      <c r="AC100" s="121" t="str">
        <f t="shared" si="130"/>
        <v/>
      </c>
      <c r="AD100" s="119" t="str">
        <f t="shared" ref="AD100:AD102" si="134">IFERROR(IF(AND(S99="Impacto",S100="Impacto"),(AD99-(+AD99*V100)),IF(AND(S99="Probabilidad",S100="Impacto"),(AD98-(+AD98*V100)),IF(S100="Probabilidad",AD99,""))),"")</f>
        <v/>
      </c>
      <c r="AE100" s="122" t="str">
        <f>IFERROR(IF(OR(AND(AA100="Muy Baja",AC100="Leve"),AND(AA100="Muy Baja",AC100="Menor"),AND(AA100="Baja",AC100="Leve")),"Bajo",IF(OR(AND(AA100="Muy baja",AC100="Moderado"),AND(AA100="Baja",AC100="Menor"),AND(AA100="Baja",AC100="Moderado"),AND(AA100="Media",AC100="Leve"),AND(AA100="Media",AC100="Menor"),AND(AA100="Media",AC100="Moderado"),AND(AA100="Alta",AC100="Leve"),AND(AA100="Alta",AC100="Menor")),"Moderado",IF(OR(AND(AA100="Muy Baja",AC100="Mayor"),AND(AA100="Baja",AC100="Mayor"),AND(AA100="Media",AC100="Mayor"),AND(AA100="Alta",AC100="Moderado"),AND(AA100="Alta",AC100="Mayor"),AND(AA100="Muy Alta",AC100="Leve"),AND(AA100="Muy Alta",AC100="Menor"),AND(AA100="Muy Alta",AC100="Moderado"),AND(AA100="Muy Alta",AC100="Mayor")),"Alto",IF(OR(AND(AA100="Muy Baja",AC100="Catastrófico"),AND(AA100="Baja",AC100="Catastrófico"),AND(AA100="Media",AC100="Catastrófico"),AND(AA100="Alta",AC100="Catastrófico"),AND(AA100="Muy Alta",AC100="Catastrófico")),"Extremo","")))),"")</f>
        <v/>
      </c>
      <c r="AF100" s="118"/>
      <c r="AG100" s="123"/>
      <c r="AH100" s="124"/>
      <c r="AI100" s="125"/>
      <c r="AJ100" s="125"/>
      <c r="AK100" s="123"/>
      <c r="AL100" s="124"/>
    </row>
    <row r="101" spans="1:38" x14ac:dyDescent="0.3">
      <c r="A101" s="210"/>
      <c r="B101" s="141"/>
      <c r="C101" s="141"/>
      <c r="D101" s="211"/>
      <c r="E101" s="201"/>
      <c r="F101" s="143"/>
      <c r="G101" s="211"/>
      <c r="H101" s="142"/>
      <c r="I101" s="212"/>
      <c r="J101" s="208"/>
      <c r="K101" s="207"/>
      <c r="L101" s="206"/>
      <c r="M101" s="207">
        <f t="shared" ca="1" si="126"/>
        <v>0</v>
      </c>
      <c r="N101" s="208"/>
      <c r="O101" s="207"/>
      <c r="P101" s="209"/>
      <c r="Q101" s="115">
        <v>5</v>
      </c>
      <c r="R101" s="116"/>
      <c r="S101" s="117" t="str">
        <f t="shared" si="132"/>
        <v/>
      </c>
      <c r="T101" s="118"/>
      <c r="U101" s="118"/>
      <c r="V101" s="119" t="str">
        <f t="shared" si="127"/>
        <v/>
      </c>
      <c r="W101" s="118"/>
      <c r="X101" s="118"/>
      <c r="Y101" s="118"/>
      <c r="Z101" s="120" t="str">
        <f t="shared" si="133"/>
        <v/>
      </c>
      <c r="AA101" s="121" t="str">
        <f t="shared" si="128"/>
        <v/>
      </c>
      <c r="AB101" s="119" t="str">
        <f t="shared" si="129"/>
        <v/>
      </c>
      <c r="AC101" s="121" t="str">
        <f t="shared" si="130"/>
        <v/>
      </c>
      <c r="AD101" s="119" t="str">
        <f t="shared" si="134"/>
        <v/>
      </c>
      <c r="AE101" s="122" t="str">
        <f t="shared" ref="AE101" si="135">IFERROR(IF(OR(AND(AA101="Muy Baja",AC101="Leve"),AND(AA101="Muy Baja",AC101="Menor"),AND(AA101="Baja",AC101="Leve")),"Bajo",IF(OR(AND(AA101="Muy baja",AC101="Moderado"),AND(AA101="Baja",AC101="Menor"),AND(AA101="Baja",AC101="Moderado"),AND(AA101="Media",AC101="Leve"),AND(AA101="Media",AC101="Menor"),AND(AA101="Media",AC101="Moderado"),AND(AA101="Alta",AC101="Leve"),AND(AA101="Alta",AC101="Menor")),"Moderado",IF(OR(AND(AA101="Muy Baja",AC101="Mayor"),AND(AA101="Baja",AC101="Mayor"),AND(AA101="Media",AC101="Mayor"),AND(AA101="Alta",AC101="Moderado"),AND(AA101="Alta",AC101="Mayor"),AND(AA101="Muy Alta",AC101="Leve"),AND(AA101="Muy Alta",AC101="Menor"),AND(AA101="Muy Alta",AC101="Moderado"),AND(AA101="Muy Alta",AC101="Mayor")),"Alto",IF(OR(AND(AA101="Muy Baja",AC101="Catastrófico"),AND(AA101="Baja",AC101="Catastrófico"),AND(AA101="Media",AC101="Catastrófico"),AND(AA101="Alta",AC101="Catastrófico"),AND(AA101="Muy Alta",AC101="Catastrófico")),"Extremo","")))),"")</f>
        <v/>
      </c>
      <c r="AF101" s="118"/>
      <c r="AG101" s="123"/>
      <c r="AH101" s="124"/>
      <c r="AI101" s="125"/>
      <c r="AJ101" s="125"/>
      <c r="AK101" s="123"/>
      <c r="AL101" s="124"/>
    </row>
    <row r="102" spans="1:38" x14ac:dyDescent="0.3">
      <c r="A102" s="210"/>
      <c r="B102" s="141"/>
      <c r="C102" s="141"/>
      <c r="D102" s="211"/>
      <c r="E102" s="201"/>
      <c r="F102" s="143"/>
      <c r="G102" s="211"/>
      <c r="H102" s="142"/>
      <c r="I102" s="212"/>
      <c r="J102" s="208"/>
      <c r="K102" s="207"/>
      <c r="L102" s="206"/>
      <c r="M102" s="207">
        <f t="shared" ca="1" si="126"/>
        <v>0</v>
      </c>
      <c r="N102" s="208"/>
      <c r="O102" s="207"/>
      <c r="P102" s="209"/>
      <c r="Q102" s="115">
        <v>6</v>
      </c>
      <c r="R102" s="116"/>
      <c r="S102" s="117" t="str">
        <f t="shared" si="132"/>
        <v/>
      </c>
      <c r="T102" s="118"/>
      <c r="U102" s="118"/>
      <c r="V102" s="119" t="str">
        <f t="shared" si="127"/>
        <v/>
      </c>
      <c r="W102" s="118"/>
      <c r="X102" s="118"/>
      <c r="Y102" s="118"/>
      <c r="Z102" s="120" t="str">
        <f t="shared" si="133"/>
        <v/>
      </c>
      <c r="AA102" s="121" t="str">
        <f t="shared" si="128"/>
        <v/>
      </c>
      <c r="AB102" s="119" t="str">
        <f t="shared" si="129"/>
        <v/>
      </c>
      <c r="AC102" s="121" t="str">
        <f>IFERROR(IF(AD102="","",IF(AD102&lt;=0.2,"Leve",IF(AD102&lt;=0.4,"Menor",IF(AD102&lt;=0.6,"Moderado",IF(AD102&lt;=0.8,"Mayor","Catastrófico"))))),"")</f>
        <v/>
      </c>
      <c r="AD102" s="119" t="str">
        <f t="shared" si="134"/>
        <v/>
      </c>
      <c r="AE102" s="122" t="str">
        <f>IFERROR(IF(OR(AND(AA102="Muy Baja",AC102="Leve"),AND(AA102="Muy Baja",AC102="Menor"),AND(AA102="Baja",AC102="Leve")),"Bajo",IF(OR(AND(AA102="Muy baja",AC102="Moderado"),AND(AA102="Baja",AC102="Menor"),AND(AA102="Baja",AC102="Moderado"),AND(AA102="Media",AC102="Leve"),AND(AA102="Media",AC102="Menor"),AND(AA102="Media",AC102="Moderado"),AND(AA102="Alta",AC102="Leve"),AND(AA102="Alta",AC102="Menor")),"Moderado",IF(OR(AND(AA102="Muy Baja",AC102="Mayor"),AND(AA102="Baja",AC102="Mayor"),AND(AA102="Media",AC102="Mayor"),AND(AA102="Alta",AC102="Moderado"),AND(AA102="Alta",AC102="Mayor"),AND(AA102="Muy Alta",AC102="Leve"),AND(AA102="Muy Alta",AC102="Menor"),AND(AA102="Muy Alta",AC102="Moderado"),AND(AA102="Muy Alta",AC102="Mayor")),"Alto",IF(OR(AND(AA102="Muy Baja",AC102="Catastrófico"),AND(AA102="Baja",AC102="Catastrófico"),AND(AA102="Media",AC102="Catastrófico"),AND(AA102="Alta",AC102="Catastrófico"),AND(AA102="Muy Alta",AC102="Catastrófico")),"Extremo","")))),"")</f>
        <v/>
      </c>
      <c r="AF102" s="118"/>
      <c r="AG102" s="123"/>
      <c r="AH102" s="124"/>
      <c r="AI102" s="125"/>
      <c r="AJ102" s="125"/>
      <c r="AK102" s="123"/>
      <c r="AL102" s="124"/>
    </row>
    <row r="103" spans="1:38" x14ac:dyDescent="0.3">
      <c r="A103" s="210">
        <v>7</v>
      </c>
      <c r="B103" s="141"/>
      <c r="C103" s="141"/>
      <c r="D103" s="211"/>
      <c r="E103" s="201"/>
      <c r="F103" s="143"/>
      <c r="G103" s="211"/>
      <c r="H103" s="142"/>
      <c r="I103" s="212"/>
      <c r="J103" s="208" t="str">
        <f>IF(I103&lt;=0,"",IF(I103&lt;=2,"Muy Baja",IF(I103&lt;=24,"Baja",IF(I103&lt;=500,"Media",IF(I103&lt;=5000,"Alta","Muy Alta")))))</f>
        <v/>
      </c>
      <c r="K103" s="207" t="str">
        <f>IF(J103="","",IF(J103="Muy Baja",0.2,IF(J103="Baja",0.4,IF(J103="Media",0.6,IF(J103="Alta",0.8,IF(J103="Muy Alta",1,))))))</f>
        <v/>
      </c>
      <c r="L103" s="206"/>
      <c r="M103" s="207">
        <f ca="1">IF(NOT(ISERROR(MATCH(L103,'Tabla Impacto'!$B$221:$B$223,0))),'Tabla Impacto'!$F$223&amp;"Por favor no seleccionar los criterios de impacto(Afectación Económica o presupuestal y Pérdida Reputacional)",L103)</f>
        <v>0</v>
      </c>
      <c r="N103" s="208" t="str">
        <f ca="1">IF(OR(M103='Tabla Impacto'!$C$11,M103='Tabla Impacto'!$D$11),"Leve",IF(OR(M103='Tabla Impacto'!$C$12,M103='Tabla Impacto'!$D$12),"Menor",IF(OR(M103='Tabla Impacto'!$C$13,M103='Tabla Impacto'!$D$13),"Moderado",IF(OR(M103='Tabla Impacto'!$C$14,M103='Tabla Impacto'!$D$14),"Mayor",IF(OR(M103='Tabla Impacto'!$C$15,M103='Tabla Impacto'!$D$15),"Catastrófico","")))))</f>
        <v/>
      </c>
      <c r="O103" s="207" t="str">
        <f ca="1">IF(N103="","",IF(N103="Leve",0.2,IF(N103="Menor",0.4,IF(N103="Moderado",0.6,IF(N103="Mayor",0.8,IF(N103="Catastrófico",1,))))))</f>
        <v/>
      </c>
      <c r="P103" s="209" t="str">
        <f ca="1">IF(OR(AND(J103="Muy Baja",N103="Leve"),AND(J103="Muy Baja",N103="Menor"),AND(J103="Baja",N103="Leve")),"Bajo",IF(OR(AND(J103="Muy baja",N103="Moderado"),AND(J103="Baja",N103="Menor"),AND(J103="Baja",N103="Moderado"),AND(J103="Media",N103="Leve"),AND(J103="Media",N103="Menor"),AND(J103="Media",N103="Moderado"),AND(J103="Alta",N103="Leve"),AND(J103="Alta",N103="Menor")),"Moderado",IF(OR(AND(J103="Muy Baja",N103="Mayor"),AND(J103="Baja",N103="Mayor"),AND(J103="Media",N103="Mayor"),AND(J103="Alta",N103="Moderado"),AND(J103="Alta",N103="Mayor"),AND(J103="Muy Alta",N103="Leve"),AND(J103="Muy Alta",N103="Menor"),AND(J103="Muy Alta",N103="Moderado"),AND(J103="Muy Alta",N103="Mayor")),"Alto",IF(OR(AND(J103="Muy Baja",N103="Catastrófico"),AND(J103="Baja",N103="Catastrófico"),AND(J103="Media",N103="Catastrófico"),AND(J103="Alta",N103="Catastrófico"),AND(J103="Muy Alta",N103="Catastrófico")),"Extremo",""))))</f>
        <v/>
      </c>
      <c r="Q103" s="115">
        <v>1</v>
      </c>
      <c r="R103" s="116"/>
      <c r="S103" s="117" t="str">
        <f>IF(OR(T103="Preventivo",T103="Detectivo"),"Probabilidad",IF(T103="Correctivo","Impacto",""))</f>
        <v/>
      </c>
      <c r="T103" s="118"/>
      <c r="U103" s="118"/>
      <c r="V103" s="119" t="str">
        <f>IF(AND(T103="Preventivo",U103="Automático"),"50%",IF(AND(T103="Preventivo",U103="Manual"),"40%",IF(AND(T103="Detectivo",U103="Automático"),"40%",IF(AND(T103="Detectivo",U103="Manual"),"30%",IF(AND(T103="Correctivo",U103="Automático"),"35%",IF(AND(T103="Correctivo",U103="Manual"),"25%",""))))))</f>
        <v/>
      </c>
      <c r="W103" s="118"/>
      <c r="X103" s="118"/>
      <c r="Y103" s="118"/>
      <c r="Z103" s="120" t="str">
        <f>IFERROR(IF(S103="Probabilidad",(K103-(+K103*V103)),IF(S103="Impacto",K103,"")),"")</f>
        <v/>
      </c>
      <c r="AA103" s="121" t="str">
        <f>IFERROR(IF(Z103="","",IF(Z103&lt;=0.2,"Muy Baja",IF(Z103&lt;=0.4,"Baja",IF(Z103&lt;=0.6,"Media",IF(Z103&lt;=0.8,"Alta","Muy Alta"))))),"")</f>
        <v/>
      </c>
      <c r="AB103" s="119" t="str">
        <f>+Z103</f>
        <v/>
      </c>
      <c r="AC103" s="121" t="str">
        <f>IFERROR(IF(AD103="","",IF(AD103&lt;=0.2,"Leve",IF(AD103&lt;=0.4,"Menor",IF(AD103&lt;=0.6,"Moderado",IF(AD103&lt;=0.8,"Mayor","Catastrófico"))))),"")</f>
        <v/>
      </c>
      <c r="AD103" s="119" t="str">
        <f>IFERROR(IF(S103="Impacto",(O103-(+O103*V103)),IF(S103="Probabilidad",O103,"")),"")</f>
        <v/>
      </c>
      <c r="AE103" s="122" t="str">
        <f>IFERROR(IF(OR(AND(AA103="Muy Baja",AC103="Leve"),AND(AA103="Muy Baja",AC103="Menor"),AND(AA103="Baja",AC103="Leve")),"Bajo",IF(OR(AND(AA103="Muy baja",AC103="Moderado"),AND(AA103="Baja",AC103="Menor"),AND(AA103="Baja",AC103="Moderado"),AND(AA103="Media",AC103="Leve"),AND(AA103="Media",AC103="Menor"),AND(AA103="Media",AC103="Moderado"),AND(AA103="Alta",AC103="Leve"),AND(AA103="Alta",AC103="Menor")),"Moderado",IF(OR(AND(AA103="Muy Baja",AC103="Mayor"),AND(AA103="Baja",AC103="Mayor"),AND(AA103="Media",AC103="Mayor"),AND(AA103="Alta",AC103="Moderado"),AND(AA103="Alta",AC103="Mayor"),AND(AA103="Muy Alta",AC103="Leve"),AND(AA103="Muy Alta",AC103="Menor"),AND(AA103="Muy Alta",AC103="Moderado"),AND(AA103="Muy Alta",AC103="Mayor")),"Alto",IF(OR(AND(AA103="Muy Baja",AC103="Catastrófico"),AND(AA103="Baja",AC103="Catastrófico"),AND(AA103="Media",AC103="Catastrófico"),AND(AA103="Alta",AC103="Catastrófico"),AND(AA103="Muy Alta",AC103="Catastrófico")),"Extremo","")))),"")</f>
        <v/>
      </c>
      <c r="AF103" s="118"/>
      <c r="AG103" s="123"/>
      <c r="AH103" s="124"/>
      <c r="AI103" s="125"/>
      <c r="AJ103" s="125"/>
      <c r="AK103" s="123"/>
      <c r="AL103" s="124"/>
    </row>
    <row r="104" spans="1:38" x14ac:dyDescent="0.3">
      <c r="A104" s="210"/>
      <c r="B104" s="141"/>
      <c r="C104" s="141"/>
      <c r="D104" s="211"/>
      <c r="E104" s="201"/>
      <c r="F104" s="143"/>
      <c r="G104" s="211"/>
      <c r="H104" s="142"/>
      <c r="I104" s="212"/>
      <c r="J104" s="208"/>
      <c r="K104" s="207"/>
      <c r="L104" s="206"/>
      <c r="M104" s="207">
        <f t="shared" ref="M104:M108" ca="1" si="136">IF(NOT(ISERROR(MATCH(L104,_xlfn.ANCHORARRAY(E115),0))),K117&amp;"Por favor no seleccionar los criterios de impacto",L104)</f>
        <v>0</v>
      </c>
      <c r="N104" s="208"/>
      <c r="O104" s="207"/>
      <c r="P104" s="209"/>
      <c r="Q104" s="115">
        <v>2</v>
      </c>
      <c r="R104" s="116"/>
      <c r="S104" s="117" t="str">
        <f>IF(OR(T104="Preventivo",T104="Detectivo"),"Probabilidad",IF(T104="Correctivo","Impacto",""))</f>
        <v/>
      </c>
      <c r="T104" s="118"/>
      <c r="U104" s="118"/>
      <c r="V104" s="119" t="str">
        <f t="shared" ref="V104:V108" si="137">IF(AND(T104="Preventivo",U104="Automático"),"50%",IF(AND(T104="Preventivo",U104="Manual"),"40%",IF(AND(T104="Detectivo",U104="Automático"),"40%",IF(AND(T104="Detectivo",U104="Manual"),"30%",IF(AND(T104="Correctivo",U104="Automático"),"35%",IF(AND(T104="Correctivo",U104="Manual"),"25%",""))))))</f>
        <v/>
      </c>
      <c r="W104" s="118"/>
      <c r="X104" s="118"/>
      <c r="Y104" s="118"/>
      <c r="Z104" s="120" t="str">
        <f>IFERROR(IF(AND(S103="Probabilidad",S104="Probabilidad"),(AB103-(+AB103*V104)),IF(S104="Probabilidad",(K103-(+K103*V104)),IF(S104="Impacto",AB103,""))),"")</f>
        <v/>
      </c>
      <c r="AA104" s="121" t="str">
        <f t="shared" ref="AA104:AA108" si="138">IFERROR(IF(Z104="","",IF(Z104&lt;=0.2,"Muy Baja",IF(Z104&lt;=0.4,"Baja",IF(Z104&lt;=0.6,"Media",IF(Z104&lt;=0.8,"Alta","Muy Alta"))))),"")</f>
        <v/>
      </c>
      <c r="AB104" s="119" t="str">
        <f t="shared" ref="AB104:AB108" si="139">+Z104</f>
        <v/>
      </c>
      <c r="AC104" s="121" t="str">
        <f t="shared" ref="AC104:AC108" si="140">IFERROR(IF(AD104="","",IF(AD104&lt;=0.2,"Leve",IF(AD104&lt;=0.4,"Menor",IF(AD104&lt;=0.6,"Moderado",IF(AD104&lt;=0.8,"Mayor","Catastrófico"))))),"")</f>
        <v/>
      </c>
      <c r="AD104" s="119" t="str">
        <f>IFERROR(IF(AND(S103="Impacto",S104="Impacto"),(AD97-(+AD97*V104)),IF(S104="Impacto",($O$43-(+$O$43*V104)),IF(S104="Probabilidad",AD97,""))),"")</f>
        <v/>
      </c>
      <c r="AE104" s="122" t="str">
        <f t="shared" ref="AE104:AE105" si="141">IFERROR(IF(OR(AND(AA104="Muy Baja",AC104="Leve"),AND(AA104="Muy Baja",AC104="Menor"),AND(AA104="Baja",AC104="Leve")),"Bajo",IF(OR(AND(AA104="Muy baja",AC104="Moderado"),AND(AA104="Baja",AC104="Menor"),AND(AA104="Baja",AC104="Moderado"),AND(AA104="Media",AC104="Leve"),AND(AA104="Media",AC104="Menor"),AND(AA104="Media",AC104="Moderado"),AND(AA104="Alta",AC104="Leve"),AND(AA104="Alta",AC104="Menor")),"Moderado",IF(OR(AND(AA104="Muy Baja",AC104="Mayor"),AND(AA104="Baja",AC104="Mayor"),AND(AA104="Media",AC104="Mayor"),AND(AA104="Alta",AC104="Moderado"),AND(AA104="Alta",AC104="Mayor"),AND(AA104="Muy Alta",AC104="Leve"),AND(AA104="Muy Alta",AC104="Menor"),AND(AA104="Muy Alta",AC104="Moderado"),AND(AA104="Muy Alta",AC104="Mayor")),"Alto",IF(OR(AND(AA104="Muy Baja",AC104="Catastrófico"),AND(AA104="Baja",AC104="Catastrófico"),AND(AA104="Media",AC104="Catastrófico"),AND(AA104="Alta",AC104="Catastrófico"),AND(AA104="Muy Alta",AC104="Catastrófico")),"Extremo","")))),"")</f>
        <v/>
      </c>
      <c r="AF104" s="118"/>
      <c r="AG104" s="123"/>
      <c r="AH104" s="124"/>
      <c r="AI104" s="125"/>
      <c r="AJ104" s="125"/>
      <c r="AK104" s="123"/>
      <c r="AL104" s="124"/>
    </row>
    <row r="105" spans="1:38" x14ac:dyDescent="0.3">
      <c r="A105" s="210"/>
      <c r="B105" s="141"/>
      <c r="C105" s="141"/>
      <c r="D105" s="211"/>
      <c r="E105" s="201"/>
      <c r="F105" s="143"/>
      <c r="G105" s="211"/>
      <c r="H105" s="142"/>
      <c r="I105" s="212"/>
      <c r="J105" s="208"/>
      <c r="K105" s="207"/>
      <c r="L105" s="206"/>
      <c r="M105" s="207">
        <f t="shared" ca="1" si="136"/>
        <v>0</v>
      </c>
      <c r="N105" s="208"/>
      <c r="O105" s="207"/>
      <c r="P105" s="209"/>
      <c r="Q105" s="115">
        <v>3</v>
      </c>
      <c r="R105" s="128"/>
      <c r="S105" s="117" t="str">
        <f>IF(OR(T105="Preventivo",T105="Detectivo"),"Probabilidad",IF(T105="Correctivo","Impacto",""))</f>
        <v/>
      </c>
      <c r="T105" s="118"/>
      <c r="U105" s="118"/>
      <c r="V105" s="119" t="str">
        <f t="shared" si="137"/>
        <v/>
      </c>
      <c r="W105" s="118"/>
      <c r="X105" s="118"/>
      <c r="Y105" s="118"/>
      <c r="Z105" s="120" t="str">
        <f>IFERROR(IF(AND(S104="Probabilidad",S105="Probabilidad"),(AB104-(+AB104*V105)),IF(AND(S104="Impacto",S105="Probabilidad"),(AB103-(+AB103*V105)),IF(S105="Impacto",AB104,""))),"")</f>
        <v/>
      </c>
      <c r="AA105" s="121" t="str">
        <f t="shared" si="138"/>
        <v/>
      </c>
      <c r="AB105" s="119" t="str">
        <f t="shared" si="139"/>
        <v/>
      </c>
      <c r="AC105" s="121" t="str">
        <f t="shared" si="140"/>
        <v/>
      </c>
      <c r="AD105" s="119" t="str">
        <f>IFERROR(IF(AND(S104="Impacto",S105="Impacto"),(AD104-(+AD104*V105)),IF(AND(S104="Probabilidad",S105="Impacto"),(AD103-(+AD103*V105)),IF(S105="Probabilidad",AD104,""))),"")</f>
        <v/>
      </c>
      <c r="AE105" s="122" t="str">
        <f t="shared" si="141"/>
        <v/>
      </c>
      <c r="AF105" s="118"/>
      <c r="AG105" s="123"/>
      <c r="AH105" s="124"/>
      <c r="AI105" s="125"/>
      <c r="AJ105" s="125"/>
      <c r="AK105" s="123"/>
      <c r="AL105" s="124"/>
    </row>
    <row r="106" spans="1:38" x14ac:dyDescent="0.3">
      <c r="A106" s="210"/>
      <c r="B106" s="141"/>
      <c r="C106" s="141"/>
      <c r="D106" s="211"/>
      <c r="E106" s="201"/>
      <c r="F106" s="143"/>
      <c r="G106" s="211"/>
      <c r="H106" s="142"/>
      <c r="I106" s="212"/>
      <c r="J106" s="208"/>
      <c r="K106" s="207"/>
      <c r="L106" s="206"/>
      <c r="M106" s="207">
        <f t="shared" ca="1" si="136"/>
        <v>0</v>
      </c>
      <c r="N106" s="208"/>
      <c r="O106" s="207"/>
      <c r="P106" s="209"/>
      <c r="Q106" s="115">
        <v>4</v>
      </c>
      <c r="R106" s="116"/>
      <c r="S106" s="117" t="str">
        <f t="shared" ref="S106:S108" si="142">IF(OR(T106="Preventivo",T106="Detectivo"),"Probabilidad",IF(T106="Correctivo","Impacto",""))</f>
        <v/>
      </c>
      <c r="T106" s="118"/>
      <c r="U106" s="118"/>
      <c r="V106" s="119" t="str">
        <f t="shared" si="137"/>
        <v/>
      </c>
      <c r="W106" s="118"/>
      <c r="X106" s="118"/>
      <c r="Y106" s="118"/>
      <c r="Z106" s="120" t="str">
        <f t="shared" ref="Z106:Z108" si="143">IFERROR(IF(AND(S105="Probabilidad",S106="Probabilidad"),(AB105-(+AB105*V106)),IF(AND(S105="Impacto",S106="Probabilidad"),(AB104-(+AB104*V106)),IF(S106="Impacto",AB105,""))),"")</f>
        <v/>
      </c>
      <c r="AA106" s="121" t="str">
        <f t="shared" si="138"/>
        <v/>
      </c>
      <c r="AB106" s="119" t="str">
        <f t="shared" si="139"/>
        <v/>
      </c>
      <c r="AC106" s="121" t="str">
        <f t="shared" si="140"/>
        <v/>
      </c>
      <c r="AD106" s="119" t="str">
        <f t="shared" ref="AD106:AD108" si="144">IFERROR(IF(AND(S105="Impacto",S106="Impacto"),(AD105-(+AD105*V106)),IF(AND(S105="Probabilidad",S106="Impacto"),(AD104-(+AD104*V106)),IF(S106="Probabilidad",AD105,""))),"")</f>
        <v/>
      </c>
      <c r="AE106" s="122" t="str">
        <f>IFERROR(IF(OR(AND(AA106="Muy Baja",AC106="Leve"),AND(AA106="Muy Baja",AC106="Menor"),AND(AA106="Baja",AC106="Leve")),"Bajo",IF(OR(AND(AA106="Muy baja",AC106="Moderado"),AND(AA106="Baja",AC106="Menor"),AND(AA106="Baja",AC106="Moderado"),AND(AA106="Media",AC106="Leve"),AND(AA106="Media",AC106="Menor"),AND(AA106="Media",AC106="Moderado"),AND(AA106="Alta",AC106="Leve"),AND(AA106="Alta",AC106="Menor")),"Moderado",IF(OR(AND(AA106="Muy Baja",AC106="Mayor"),AND(AA106="Baja",AC106="Mayor"),AND(AA106="Media",AC106="Mayor"),AND(AA106="Alta",AC106="Moderado"),AND(AA106="Alta",AC106="Mayor"),AND(AA106="Muy Alta",AC106="Leve"),AND(AA106="Muy Alta",AC106="Menor"),AND(AA106="Muy Alta",AC106="Moderado"),AND(AA106="Muy Alta",AC106="Mayor")),"Alto",IF(OR(AND(AA106="Muy Baja",AC106="Catastrófico"),AND(AA106="Baja",AC106="Catastrófico"),AND(AA106="Media",AC106="Catastrófico"),AND(AA106="Alta",AC106="Catastrófico"),AND(AA106="Muy Alta",AC106="Catastrófico")),"Extremo","")))),"")</f>
        <v/>
      </c>
      <c r="AF106" s="118"/>
      <c r="AG106" s="123"/>
      <c r="AH106" s="124"/>
      <c r="AI106" s="125"/>
      <c r="AJ106" s="125"/>
      <c r="AK106" s="123"/>
      <c r="AL106" s="124"/>
    </row>
    <row r="107" spans="1:38" x14ac:dyDescent="0.3">
      <c r="A107" s="210"/>
      <c r="B107" s="141"/>
      <c r="C107" s="141"/>
      <c r="D107" s="211"/>
      <c r="E107" s="201"/>
      <c r="F107" s="143"/>
      <c r="G107" s="211"/>
      <c r="H107" s="142"/>
      <c r="I107" s="212"/>
      <c r="J107" s="208"/>
      <c r="K107" s="207"/>
      <c r="L107" s="206"/>
      <c r="M107" s="207">
        <f t="shared" ca="1" si="136"/>
        <v>0</v>
      </c>
      <c r="N107" s="208"/>
      <c r="O107" s="207"/>
      <c r="P107" s="209"/>
      <c r="Q107" s="115">
        <v>5</v>
      </c>
      <c r="R107" s="116"/>
      <c r="S107" s="117" t="str">
        <f t="shared" si="142"/>
        <v/>
      </c>
      <c r="T107" s="118"/>
      <c r="U107" s="118"/>
      <c r="V107" s="119" t="str">
        <f t="shared" si="137"/>
        <v/>
      </c>
      <c r="W107" s="118"/>
      <c r="X107" s="118"/>
      <c r="Y107" s="118"/>
      <c r="Z107" s="120" t="str">
        <f t="shared" si="143"/>
        <v/>
      </c>
      <c r="AA107" s="121" t="str">
        <f t="shared" si="138"/>
        <v/>
      </c>
      <c r="AB107" s="119" t="str">
        <f t="shared" si="139"/>
        <v/>
      </c>
      <c r="AC107" s="121" t="str">
        <f t="shared" si="140"/>
        <v/>
      </c>
      <c r="AD107" s="119" t="str">
        <f t="shared" si="144"/>
        <v/>
      </c>
      <c r="AE107" s="122" t="str">
        <f t="shared" ref="AE107:AE108" si="145">IFERROR(IF(OR(AND(AA107="Muy Baja",AC107="Leve"),AND(AA107="Muy Baja",AC107="Menor"),AND(AA107="Baja",AC107="Leve")),"Bajo",IF(OR(AND(AA107="Muy baja",AC107="Moderado"),AND(AA107="Baja",AC107="Menor"),AND(AA107="Baja",AC107="Moderado"),AND(AA107="Media",AC107="Leve"),AND(AA107="Media",AC107="Menor"),AND(AA107="Media",AC107="Moderado"),AND(AA107="Alta",AC107="Leve"),AND(AA107="Alta",AC107="Menor")),"Moderado",IF(OR(AND(AA107="Muy Baja",AC107="Mayor"),AND(AA107="Baja",AC107="Mayor"),AND(AA107="Media",AC107="Mayor"),AND(AA107="Alta",AC107="Moderado"),AND(AA107="Alta",AC107="Mayor"),AND(AA107="Muy Alta",AC107="Leve"),AND(AA107="Muy Alta",AC107="Menor"),AND(AA107="Muy Alta",AC107="Moderado"),AND(AA107="Muy Alta",AC107="Mayor")),"Alto",IF(OR(AND(AA107="Muy Baja",AC107="Catastrófico"),AND(AA107="Baja",AC107="Catastrófico"),AND(AA107="Media",AC107="Catastrófico"),AND(AA107="Alta",AC107="Catastrófico"),AND(AA107="Muy Alta",AC107="Catastrófico")),"Extremo","")))),"")</f>
        <v/>
      </c>
      <c r="AF107" s="118"/>
      <c r="AG107" s="123"/>
      <c r="AH107" s="124"/>
      <c r="AI107" s="125"/>
      <c r="AJ107" s="125"/>
      <c r="AK107" s="123"/>
      <c r="AL107" s="124"/>
    </row>
    <row r="108" spans="1:38" x14ac:dyDescent="0.3">
      <c r="A108" s="210"/>
      <c r="B108" s="141"/>
      <c r="C108" s="141"/>
      <c r="D108" s="211"/>
      <c r="E108" s="201"/>
      <c r="F108" s="143"/>
      <c r="G108" s="211"/>
      <c r="H108" s="142"/>
      <c r="I108" s="212"/>
      <c r="J108" s="208"/>
      <c r="K108" s="207"/>
      <c r="L108" s="206"/>
      <c r="M108" s="207">
        <f t="shared" ca="1" si="136"/>
        <v>0</v>
      </c>
      <c r="N108" s="208"/>
      <c r="O108" s="207"/>
      <c r="P108" s="209"/>
      <c r="Q108" s="115">
        <v>6</v>
      </c>
      <c r="R108" s="116"/>
      <c r="S108" s="117" t="str">
        <f t="shared" si="142"/>
        <v/>
      </c>
      <c r="T108" s="118"/>
      <c r="U108" s="118"/>
      <c r="V108" s="119" t="str">
        <f t="shared" si="137"/>
        <v/>
      </c>
      <c r="W108" s="118"/>
      <c r="X108" s="118"/>
      <c r="Y108" s="118"/>
      <c r="Z108" s="120" t="str">
        <f t="shared" si="143"/>
        <v/>
      </c>
      <c r="AA108" s="121" t="str">
        <f t="shared" si="138"/>
        <v/>
      </c>
      <c r="AB108" s="119" t="str">
        <f t="shared" si="139"/>
        <v/>
      </c>
      <c r="AC108" s="121" t="str">
        <f t="shared" si="140"/>
        <v/>
      </c>
      <c r="AD108" s="119" t="str">
        <f t="shared" si="144"/>
        <v/>
      </c>
      <c r="AE108" s="122" t="str">
        <f t="shared" si="145"/>
        <v/>
      </c>
      <c r="AF108" s="118"/>
      <c r="AG108" s="123"/>
      <c r="AH108" s="124"/>
      <c r="AI108" s="125"/>
      <c r="AJ108" s="125"/>
      <c r="AK108" s="123"/>
      <c r="AL108" s="124"/>
    </row>
    <row r="109" spans="1:38" x14ac:dyDescent="0.3">
      <c r="A109" s="210">
        <v>8</v>
      </c>
      <c r="B109" s="141"/>
      <c r="C109" s="141"/>
      <c r="D109" s="211"/>
      <c r="E109" s="201"/>
      <c r="F109" s="143"/>
      <c r="G109" s="211"/>
      <c r="H109" s="142"/>
      <c r="I109" s="212"/>
      <c r="J109" s="208" t="str">
        <f>IF(I109&lt;=0,"",IF(I109&lt;=2,"Muy Baja",IF(I109&lt;=24,"Baja",IF(I109&lt;=500,"Media",IF(I109&lt;=5000,"Alta","Muy Alta")))))</f>
        <v/>
      </c>
      <c r="K109" s="207" t="str">
        <f>IF(J109="","",IF(J109="Muy Baja",0.2,IF(J109="Baja",0.4,IF(J109="Media",0.6,IF(J109="Alta",0.8,IF(J109="Muy Alta",1,))))))</f>
        <v/>
      </c>
      <c r="L109" s="206"/>
      <c r="M109" s="207">
        <f ca="1">IF(NOT(ISERROR(MATCH(L109,'Tabla Impacto'!$B$221:$B$223,0))),'Tabla Impacto'!$F$223&amp;"Por favor no seleccionar los criterios de impacto(Afectación Económica o presupuestal y Pérdida Reputacional)",L109)</f>
        <v>0</v>
      </c>
      <c r="N109" s="208" t="str">
        <f ca="1">IF(OR(M109='Tabla Impacto'!$C$11,M109='Tabla Impacto'!$D$11),"Leve",IF(OR(M109='Tabla Impacto'!$C$12,M109='Tabla Impacto'!$D$12),"Menor",IF(OR(M109='Tabla Impacto'!$C$13,M109='Tabla Impacto'!$D$13),"Moderado",IF(OR(M109='Tabla Impacto'!$C$14,M109='Tabla Impacto'!$D$14),"Mayor",IF(OR(M109='Tabla Impacto'!$C$15,M109='Tabla Impacto'!$D$15),"Catastrófico","")))))</f>
        <v/>
      </c>
      <c r="O109" s="207" t="str">
        <f ca="1">IF(N109="","",IF(N109="Leve",0.2,IF(N109="Menor",0.4,IF(N109="Moderado",0.6,IF(N109="Mayor",0.8,IF(N109="Catastrófico",1,))))))</f>
        <v/>
      </c>
      <c r="P109" s="209" t="str">
        <f ca="1">IF(OR(AND(J109="Muy Baja",N109="Leve"),AND(J109="Muy Baja",N109="Menor"),AND(J109="Baja",N109="Leve")),"Bajo",IF(OR(AND(J109="Muy baja",N109="Moderado"),AND(J109="Baja",N109="Menor"),AND(J109="Baja",N109="Moderado"),AND(J109="Media",N109="Leve"),AND(J109="Media",N109="Menor"),AND(J109="Media",N109="Moderado"),AND(J109="Alta",N109="Leve"),AND(J109="Alta",N109="Menor")),"Moderado",IF(OR(AND(J109="Muy Baja",N109="Mayor"),AND(J109="Baja",N109="Mayor"),AND(J109="Media",N109="Mayor"),AND(J109="Alta",N109="Moderado"),AND(J109="Alta",N109="Mayor"),AND(J109="Muy Alta",N109="Leve"),AND(J109="Muy Alta",N109="Menor"),AND(J109="Muy Alta",N109="Moderado"),AND(J109="Muy Alta",N109="Mayor")),"Alto",IF(OR(AND(J109="Muy Baja",N109="Catastrófico"),AND(J109="Baja",N109="Catastrófico"),AND(J109="Media",N109="Catastrófico"),AND(J109="Alta",N109="Catastrófico"),AND(J109="Muy Alta",N109="Catastrófico")),"Extremo",""))))</f>
        <v/>
      </c>
      <c r="Q109" s="115">
        <v>1</v>
      </c>
      <c r="R109" s="116"/>
      <c r="S109" s="117" t="str">
        <f>IF(OR(T109="Preventivo",T109="Detectivo"),"Probabilidad",IF(T109="Correctivo","Impacto",""))</f>
        <v/>
      </c>
      <c r="T109" s="118"/>
      <c r="U109" s="118"/>
      <c r="V109" s="119" t="str">
        <f>IF(AND(T109="Preventivo",U109="Automático"),"50%",IF(AND(T109="Preventivo",U109="Manual"),"40%",IF(AND(T109="Detectivo",U109="Automático"),"40%",IF(AND(T109="Detectivo",U109="Manual"),"30%",IF(AND(T109="Correctivo",U109="Automático"),"35%",IF(AND(T109="Correctivo",U109="Manual"),"25%",""))))))</f>
        <v/>
      </c>
      <c r="W109" s="118"/>
      <c r="X109" s="118"/>
      <c r="Y109" s="118"/>
      <c r="Z109" s="120" t="str">
        <f>IFERROR(IF(S109="Probabilidad",(K109-(+K109*V109)),IF(S109="Impacto",K109,"")),"")</f>
        <v/>
      </c>
      <c r="AA109" s="121" t="str">
        <f>IFERROR(IF(Z109="","",IF(Z109&lt;=0.2,"Muy Baja",IF(Z109&lt;=0.4,"Baja",IF(Z109&lt;=0.6,"Media",IF(Z109&lt;=0.8,"Alta","Muy Alta"))))),"")</f>
        <v/>
      </c>
      <c r="AB109" s="119" t="str">
        <f>+Z109</f>
        <v/>
      </c>
      <c r="AC109" s="121" t="str">
        <f>IFERROR(IF(AD109="","",IF(AD109&lt;=0.2,"Leve",IF(AD109&lt;=0.4,"Menor",IF(AD109&lt;=0.6,"Moderado",IF(AD109&lt;=0.8,"Mayor","Catastrófico"))))),"")</f>
        <v/>
      </c>
      <c r="AD109" s="119" t="str">
        <f>IFERROR(IF(S109="Impacto",(O109-(+O109*V109)),IF(S109="Probabilidad",O109,"")),"")</f>
        <v/>
      </c>
      <c r="AE109" s="122" t="str">
        <f>IFERROR(IF(OR(AND(AA109="Muy Baja",AC109="Leve"),AND(AA109="Muy Baja",AC109="Menor"),AND(AA109="Baja",AC109="Leve")),"Bajo",IF(OR(AND(AA109="Muy baja",AC109="Moderado"),AND(AA109="Baja",AC109="Menor"),AND(AA109="Baja",AC109="Moderado"),AND(AA109="Media",AC109="Leve"),AND(AA109="Media",AC109="Menor"),AND(AA109="Media",AC109="Moderado"),AND(AA109="Alta",AC109="Leve"),AND(AA109="Alta",AC109="Menor")),"Moderado",IF(OR(AND(AA109="Muy Baja",AC109="Mayor"),AND(AA109="Baja",AC109="Mayor"),AND(AA109="Media",AC109="Mayor"),AND(AA109="Alta",AC109="Moderado"),AND(AA109="Alta",AC109="Mayor"),AND(AA109="Muy Alta",AC109="Leve"),AND(AA109="Muy Alta",AC109="Menor"),AND(AA109="Muy Alta",AC109="Moderado"),AND(AA109="Muy Alta",AC109="Mayor")),"Alto",IF(OR(AND(AA109="Muy Baja",AC109="Catastrófico"),AND(AA109="Baja",AC109="Catastrófico"),AND(AA109="Media",AC109="Catastrófico"),AND(AA109="Alta",AC109="Catastrófico"),AND(AA109="Muy Alta",AC109="Catastrófico")),"Extremo","")))),"")</f>
        <v/>
      </c>
      <c r="AF109" s="118"/>
      <c r="AG109" s="123"/>
      <c r="AH109" s="124"/>
      <c r="AI109" s="125"/>
      <c r="AJ109" s="125"/>
      <c r="AK109" s="123"/>
      <c r="AL109" s="124"/>
    </row>
    <row r="110" spans="1:38" x14ac:dyDescent="0.3">
      <c r="A110" s="210"/>
      <c r="B110" s="141"/>
      <c r="C110" s="141"/>
      <c r="D110" s="211"/>
      <c r="E110" s="201"/>
      <c r="F110" s="143"/>
      <c r="G110" s="211"/>
      <c r="H110" s="142"/>
      <c r="I110" s="212"/>
      <c r="J110" s="208"/>
      <c r="K110" s="207"/>
      <c r="L110" s="206"/>
      <c r="M110" s="207">
        <f ca="1">IF(NOT(ISERROR(MATCH(L110,_xlfn.ANCHORARRAY(E121),0))),K123&amp;"Por favor no seleccionar los criterios de impacto",L110)</f>
        <v>0</v>
      </c>
      <c r="N110" s="208"/>
      <c r="O110" s="207"/>
      <c r="P110" s="209"/>
      <c r="Q110" s="115">
        <v>2</v>
      </c>
      <c r="R110" s="116"/>
      <c r="S110" s="117" t="str">
        <f>IF(OR(T110="Preventivo",T110="Detectivo"),"Probabilidad",IF(T110="Correctivo","Impacto",""))</f>
        <v/>
      </c>
      <c r="T110" s="118"/>
      <c r="U110" s="118"/>
      <c r="V110" s="119" t="str">
        <f t="shared" ref="V110:V114" si="146">IF(AND(T110="Preventivo",U110="Automático"),"50%",IF(AND(T110="Preventivo",U110="Manual"),"40%",IF(AND(T110="Detectivo",U110="Automático"),"40%",IF(AND(T110="Detectivo",U110="Manual"),"30%",IF(AND(T110="Correctivo",U110="Automático"),"35%",IF(AND(T110="Correctivo",U110="Manual"),"25%",""))))))</f>
        <v/>
      </c>
      <c r="W110" s="118"/>
      <c r="X110" s="118"/>
      <c r="Y110" s="118"/>
      <c r="Z110" s="120" t="str">
        <f>IFERROR(IF(AND(S109="Probabilidad",S110="Probabilidad"),(AB109-(+AB109*V110)),IF(S110="Probabilidad",(K109-(+K109*V110)),IF(S110="Impacto",AB109,""))),"")</f>
        <v/>
      </c>
      <c r="AA110" s="121" t="str">
        <f t="shared" ref="AA110:AA114" si="147">IFERROR(IF(Z110="","",IF(Z110&lt;=0.2,"Muy Baja",IF(Z110&lt;=0.4,"Baja",IF(Z110&lt;=0.6,"Media",IF(Z110&lt;=0.8,"Alta","Muy Alta"))))),"")</f>
        <v/>
      </c>
      <c r="AB110" s="119" t="str">
        <f t="shared" ref="AB110:AB114" si="148">+Z110</f>
        <v/>
      </c>
      <c r="AC110" s="121" t="str">
        <f t="shared" ref="AC110:AC114" si="149">IFERROR(IF(AD110="","",IF(AD110&lt;=0.2,"Leve",IF(AD110&lt;=0.4,"Menor",IF(AD110&lt;=0.6,"Moderado",IF(AD110&lt;=0.8,"Mayor","Catastrófico"))))),"")</f>
        <v/>
      </c>
      <c r="AD110" s="119" t="str">
        <f>IFERROR(IF(AND(S109="Impacto",S110="Impacto"),(AD103-(+AD103*V110)),IF(S110="Impacto",($O$49-(+$O$49*V110)),IF(S110="Probabilidad",AD103,""))),"")</f>
        <v/>
      </c>
      <c r="AE110" s="122" t="str">
        <f t="shared" ref="AE110:AE111" si="150">IFERROR(IF(OR(AND(AA110="Muy Baja",AC110="Leve"),AND(AA110="Muy Baja",AC110="Menor"),AND(AA110="Baja",AC110="Leve")),"Bajo",IF(OR(AND(AA110="Muy baja",AC110="Moderado"),AND(AA110="Baja",AC110="Menor"),AND(AA110="Baja",AC110="Moderado"),AND(AA110="Media",AC110="Leve"),AND(AA110="Media",AC110="Menor"),AND(AA110="Media",AC110="Moderado"),AND(AA110="Alta",AC110="Leve"),AND(AA110="Alta",AC110="Menor")),"Moderado",IF(OR(AND(AA110="Muy Baja",AC110="Mayor"),AND(AA110="Baja",AC110="Mayor"),AND(AA110="Media",AC110="Mayor"),AND(AA110="Alta",AC110="Moderado"),AND(AA110="Alta",AC110="Mayor"),AND(AA110="Muy Alta",AC110="Leve"),AND(AA110="Muy Alta",AC110="Menor"),AND(AA110="Muy Alta",AC110="Moderado"),AND(AA110="Muy Alta",AC110="Mayor")),"Alto",IF(OR(AND(AA110="Muy Baja",AC110="Catastrófico"),AND(AA110="Baja",AC110="Catastrófico"),AND(AA110="Media",AC110="Catastrófico"),AND(AA110="Alta",AC110="Catastrófico"),AND(AA110="Muy Alta",AC110="Catastrófico")),"Extremo","")))),"")</f>
        <v/>
      </c>
      <c r="AF110" s="118"/>
      <c r="AG110" s="123"/>
      <c r="AH110" s="124"/>
      <c r="AI110" s="125"/>
      <c r="AJ110" s="125"/>
      <c r="AK110" s="123"/>
      <c r="AL110" s="124"/>
    </row>
    <row r="111" spans="1:38" x14ac:dyDescent="0.3">
      <c r="A111" s="210"/>
      <c r="B111" s="141"/>
      <c r="C111" s="141"/>
      <c r="D111" s="211"/>
      <c r="E111" s="201"/>
      <c r="F111" s="143"/>
      <c r="G111" s="211"/>
      <c r="H111" s="142"/>
      <c r="I111" s="212"/>
      <c r="J111" s="208"/>
      <c r="K111" s="207"/>
      <c r="L111" s="206"/>
      <c r="M111" s="207">
        <f ca="1">IF(NOT(ISERROR(MATCH(L111,_xlfn.ANCHORARRAY(E122),0))),K124&amp;"Por favor no seleccionar los criterios de impacto",L111)</f>
        <v>0</v>
      </c>
      <c r="N111" s="208"/>
      <c r="O111" s="207"/>
      <c r="P111" s="209"/>
      <c r="Q111" s="115">
        <v>3</v>
      </c>
      <c r="R111" s="128"/>
      <c r="S111" s="117" t="str">
        <f>IF(OR(T111="Preventivo",T111="Detectivo"),"Probabilidad",IF(T111="Correctivo","Impacto",""))</f>
        <v/>
      </c>
      <c r="T111" s="118"/>
      <c r="U111" s="118"/>
      <c r="V111" s="119" t="str">
        <f t="shared" si="146"/>
        <v/>
      </c>
      <c r="W111" s="118"/>
      <c r="X111" s="118"/>
      <c r="Y111" s="118"/>
      <c r="Z111" s="120" t="str">
        <f>IFERROR(IF(AND(S110="Probabilidad",S111="Probabilidad"),(AB110-(+AB110*V111)),IF(AND(S110="Impacto",S111="Probabilidad"),(AB109-(+AB109*V111)),IF(S111="Impacto",AB110,""))),"")</f>
        <v/>
      </c>
      <c r="AA111" s="121" t="str">
        <f t="shared" si="147"/>
        <v/>
      </c>
      <c r="AB111" s="119" t="str">
        <f t="shared" si="148"/>
        <v/>
      </c>
      <c r="AC111" s="121" t="str">
        <f t="shared" si="149"/>
        <v/>
      </c>
      <c r="AD111" s="119" t="str">
        <f>IFERROR(IF(AND(S110="Impacto",S111="Impacto"),(AD110-(+AD110*V111)),IF(AND(S110="Probabilidad",S111="Impacto"),(AD109-(+AD109*V111)),IF(S111="Probabilidad",AD110,""))),"")</f>
        <v/>
      </c>
      <c r="AE111" s="122" t="str">
        <f t="shared" si="150"/>
        <v/>
      </c>
      <c r="AF111" s="118"/>
      <c r="AG111" s="123"/>
      <c r="AH111" s="124"/>
      <c r="AI111" s="125"/>
      <c r="AJ111" s="125"/>
      <c r="AK111" s="123"/>
      <c r="AL111" s="124"/>
    </row>
    <row r="112" spans="1:38" x14ac:dyDescent="0.3">
      <c r="A112" s="210"/>
      <c r="B112" s="141"/>
      <c r="C112" s="141"/>
      <c r="D112" s="211"/>
      <c r="E112" s="201"/>
      <c r="F112" s="143"/>
      <c r="G112" s="211"/>
      <c r="H112" s="142"/>
      <c r="I112" s="212"/>
      <c r="J112" s="208"/>
      <c r="K112" s="207"/>
      <c r="L112" s="206"/>
      <c r="M112" s="207">
        <f ca="1">IF(NOT(ISERROR(MATCH(L112,_xlfn.ANCHORARRAY(E123),0))),K125&amp;"Por favor no seleccionar los criterios de impacto",L112)</f>
        <v>0</v>
      </c>
      <c r="N112" s="208"/>
      <c r="O112" s="207"/>
      <c r="P112" s="209"/>
      <c r="Q112" s="115">
        <v>4</v>
      </c>
      <c r="R112" s="116"/>
      <c r="S112" s="117" t="str">
        <f t="shared" ref="S112:S114" si="151">IF(OR(T112="Preventivo",T112="Detectivo"),"Probabilidad",IF(T112="Correctivo","Impacto",""))</f>
        <v/>
      </c>
      <c r="T112" s="118"/>
      <c r="U112" s="118"/>
      <c r="V112" s="119" t="str">
        <f t="shared" si="146"/>
        <v/>
      </c>
      <c r="W112" s="118"/>
      <c r="X112" s="118"/>
      <c r="Y112" s="118"/>
      <c r="Z112" s="120" t="str">
        <f t="shared" ref="Z112:Z114" si="152">IFERROR(IF(AND(S111="Probabilidad",S112="Probabilidad"),(AB111-(+AB111*V112)),IF(AND(S111="Impacto",S112="Probabilidad"),(AB110-(+AB110*V112)),IF(S112="Impacto",AB111,""))),"")</f>
        <v/>
      </c>
      <c r="AA112" s="121" t="str">
        <f t="shared" si="147"/>
        <v/>
      </c>
      <c r="AB112" s="119" t="str">
        <f t="shared" si="148"/>
        <v/>
      </c>
      <c r="AC112" s="121" t="str">
        <f t="shared" si="149"/>
        <v/>
      </c>
      <c r="AD112" s="119" t="str">
        <f t="shared" ref="AD112:AD114" si="153">IFERROR(IF(AND(S111="Impacto",S112="Impacto"),(AD111-(+AD111*V112)),IF(AND(S111="Probabilidad",S112="Impacto"),(AD110-(+AD110*V112)),IF(S112="Probabilidad",AD111,""))),"")</f>
        <v/>
      </c>
      <c r="AE112" s="122" t="str">
        <f>IFERROR(IF(OR(AND(AA112="Muy Baja",AC112="Leve"),AND(AA112="Muy Baja",AC112="Menor"),AND(AA112="Baja",AC112="Leve")),"Bajo",IF(OR(AND(AA112="Muy baja",AC112="Moderado"),AND(AA112="Baja",AC112="Menor"),AND(AA112="Baja",AC112="Moderado"),AND(AA112="Media",AC112="Leve"),AND(AA112="Media",AC112="Menor"),AND(AA112="Media",AC112="Moderado"),AND(AA112="Alta",AC112="Leve"),AND(AA112="Alta",AC112="Menor")),"Moderado",IF(OR(AND(AA112="Muy Baja",AC112="Mayor"),AND(AA112="Baja",AC112="Mayor"),AND(AA112="Media",AC112="Mayor"),AND(AA112="Alta",AC112="Moderado"),AND(AA112="Alta",AC112="Mayor"),AND(AA112="Muy Alta",AC112="Leve"),AND(AA112="Muy Alta",AC112="Menor"),AND(AA112="Muy Alta",AC112="Moderado"),AND(AA112="Muy Alta",AC112="Mayor")),"Alto",IF(OR(AND(AA112="Muy Baja",AC112="Catastrófico"),AND(AA112="Baja",AC112="Catastrófico"),AND(AA112="Media",AC112="Catastrófico"),AND(AA112="Alta",AC112="Catastrófico"),AND(AA112="Muy Alta",AC112="Catastrófico")),"Extremo","")))),"")</f>
        <v/>
      </c>
      <c r="AF112" s="118"/>
      <c r="AG112" s="123"/>
      <c r="AH112" s="124"/>
      <c r="AI112" s="125"/>
      <c r="AJ112" s="125"/>
      <c r="AK112" s="123"/>
      <c r="AL112" s="124"/>
    </row>
    <row r="113" spans="1:38" x14ac:dyDescent="0.3">
      <c r="A113" s="210"/>
      <c r="B113" s="141"/>
      <c r="C113" s="141"/>
      <c r="D113" s="211"/>
      <c r="E113" s="201"/>
      <c r="F113" s="143"/>
      <c r="G113" s="211"/>
      <c r="H113" s="142"/>
      <c r="I113" s="212"/>
      <c r="J113" s="208"/>
      <c r="K113" s="207"/>
      <c r="L113" s="206"/>
      <c r="M113" s="207">
        <f ca="1">IF(NOT(ISERROR(MATCH(L113,_xlfn.ANCHORARRAY(E124),0))),K126&amp;"Por favor no seleccionar los criterios de impacto",L113)</f>
        <v>0</v>
      </c>
      <c r="N113" s="208"/>
      <c r="O113" s="207"/>
      <c r="P113" s="209"/>
      <c r="Q113" s="115">
        <v>5</v>
      </c>
      <c r="R113" s="116"/>
      <c r="S113" s="117" t="str">
        <f t="shared" si="151"/>
        <v/>
      </c>
      <c r="T113" s="118"/>
      <c r="U113" s="118"/>
      <c r="V113" s="119" t="str">
        <f t="shared" si="146"/>
        <v/>
      </c>
      <c r="W113" s="118"/>
      <c r="X113" s="118"/>
      <c r="Y113" s="118"/>
      <c r="Z113" s="120" t="str">
        <f t="shared" si="152"/>
        <v/>
      </c>
      <c r="AA113" s="121" t="str">
        <f t="shared" si="147"/>
        <v/>
      </c>
      <c r="AB113" s="119" t="str">
        <f t="shared" si="148"/>
        <v/>
      </c>
      <c r="AC113" s="121" t="str">
        <f t="shared" si="149"/>
        <v/>
      </c>
      <c r="AD113" s="119" t="str">
        <f t="shared" si="153"/>
        <v/>
      </c>
      <c r="AE113" s="122" t="str">
        <f t="shared" ref="AE113:AE114" si="154">IFERROR(IF(OR(AND(AA113="Muy Baja",AC113="Leve"),AND(AA113="Muy Baja",AC113="Menor"),AND(AA113="Baja",AC113="Leve")),"Bajo",IF(OR(AND(AA113="Muy baja",AC113="Moderado"),AND(AA113="Baja",AC113="Menor"),AND(AA113="Baja",AC113="Moderado"),AND(AA113="Media",AC113="Leve"),AND(AA113="Media",AC113="Menor"),AND(AA113="Media",AC113="Moderado"),AND(AA113="Alta",AC113="Leve"),AND(AA113="Alta",AC113="Menor")),"Moderado",IF(OR(AND(AA113="Muy Baja",AC113="Mayor"),AND(AA113="Baja",AC113="Mayor"),AND(AA113="Media",AC113="Mayor"),AND(AA113="Alta",AC113="Moderado"),AND(AA113="Alta",AC113="Mayor"),AND(AA113="Muy Alta",AC113="Leve"),AND(AA113="Muy Alta",AC113="Menor"),AND(AA113="Muy Alta",AC113="Moderado"),AND(AA113="Muy Alta",AC113="Mayor")),"Alto",IF(OR(AND(AA113="Muy Baja",AC113="Catastrófico"),AND(AA113="Baja",AC113="Catastrófico"),AND(AA113="Media",AC113="Catastrófico"),AND(AA113="Alta",AC113="Catastrófico"),AND(AA113="Muy Alta",AC113="Catastrófico")),"Extremo","")))),"")</f>
        <v/>
      </c>
      <c r="AF113" s="118"/>
      <c r="AG113" s="123"/>
      <c r="AH113" s="124"/>
      <c r="AI113" s="125"/>
      <c r="AJ113" s="125"/>
      <c r="AK113" s="123"/>
      <c r="AL113" s="124"/>
    </row>
    <row r="114" spans="1:38" x14ac:dyDescent="0.3">
      <c r="A114" s="210"/>
      <c r="B114" s="141"/>
      <c r="C114" s="141"/>
      <c r="D114" s="211"/>
      <c r="E114" s="201"/>
      <c r="F114" s="143"/>
      <c r="G114" s="211"/>
      <c r="H114" s="142"/>
      <c r="I114" s="212"/>
      <c r="J114" s="208"/>
      <c r="K114" s="207"/>
      <c r="L114" s="206"/>
      <c r="M114" s="207">
        <f ca="1">IF(NOT(ISERROR(MATCH(L114,_xlfn.ANCHORARRAY(E125),0))),K128&amp;"Por favor no seleccionar los criterios de impacto",L114)</f>
        <v>0</v>
      </c>
      <c r="N114" s="208"/>
      <c r="O114" s="207"/>
      <c r="P114" s="209"/>
      <c r="Q114" s="115">
        <v>6</v>
      </c>
      <c r="R114" s="116"/>
      <c r="S114" s="117" t="str">
        <f t="shared" si="151"/>
        <v/>
      </c>
      <c r="T114" s="118"/>
      <c r="U114" s="118"/>
      <c r="V114" s="119" t="str">
        <f t="shared" si="146"/>
        <v/>
      </c>
      <c r="W114" s="118"/>
      <c r="X114" s="118"/>
      <c r="Y114" s="118"/>
      <c r="Z114" s="120" t="str">
        <f t="shared" si="152"/>
        <v/>
      </c>
      <c r="AA114" s="121" t="str">
        <f t="shared" si="147"/>
        <v/>
      </c>
      <c r="AB114" s="119" t="str">
        <f t="shared" si="148"/>
        <v/>
      </c>
      <c r="AC114" s="121" t="str">
        <f t="shared" si="149"/>
        <v/>
      </c>
      <c r="AD114" s="119" t="str">
        <f t="shared" si="153"/>
        <v/>
      </c>
      <c r="AE114" s="122" t="str">
        <f t="shared" si="154"/>
        <v/>
      </c>
      <c r="AF114" s="118"/>
      <c r="AG114" s="123"/>
      <c r="AH114" s="124"/>
      <c r="AI114" s="125"/>
      <c r="AJ114" s="125"/>
      <c r="AK114" s="123"/>
      <c r="AL114" s="124"/>
    </row>
    <row r="115" spans="1:38" x14ac:dyDescent="0.3">
      <c r="A115" s="210">
        <v>9</v>
      </c>
      <c r="B115" s="141"/>
      <c r="C115" s="141"/>
      <c r="D115" s="211"/>
      <c r="E115" s="201"/>
      <c r="F115" s="143"/>
      <c r="G115" s="211"/>
      <c r="H115" s="142"/>
      <c r="I115" s="212"/>
      <c r="J115" s="208" t="str">
        <f>IF(I115&lt;=0,"",IF(I115&lt;=2,"Muy Baja",IF(I115&lt;=24,"Baja",IF(I115&lt;=500,"Media",IF(I115&lt;=5000,"Alta","Muy Alta")))))</f>
        <v/>
      </c>
      <c r="K115" s="207" t="str">
        <f>IF(J115="","",IF(J115="Muy Baja",0.2,IF(J115="Baja",0.4,IF(J115="Media",0.6,IF(J115="Alta",0.8,IF(J115="Muy Alta",1,))))))</f>
        <v/>
      </c>
      <c r="L115" s="206"/>
      <c r="M115" s="207">
        <f ca="1">IF(NOT(ISERROR(MATCH(L115,'Tabla Impacto'!$B$221:$B$223,0))),'Tabla Impacto'!$F$223&amp;"Por favor no seleccionar los criterios de impacto(Afectación Económica o presupuestal y Pérdida Reputacional)",L115)</f>
        <v>0</v>
      </c>
      <c r="N115" s="208" t="str">
        <f ca="1">IF(OR(M115='Tabla Impacto'!$C$11,M115='Tabla Impacto'!$D$11),"Leve",IF(OR(M115='Tabla Impacto'!$C$12,M115='Tabla Impacto'!$D$12),"Menor",IF(OR(M115='Tabla Impacto'!$C$13,M115='Tabla Impacto'!$D$13),"Moderado",IF(OR(M115='Tabla Impacto'!$C$14,M115='Tabla Impacto'!$D$14),"Mayor",IF(OR(M115='Tabla Impacto'!$C$15,M115='Tabla Impacto'!$D$15),"Catastrófico","")))))</f>
        <v/>
      </c>
      <c r="O115" s="207" t="str">
        <f ca="1">IF(N115="","",IF(N115="Leve",0.2,IF(N115="Menor",0.4,IF(N115="Moderado",0.6,IF(N115="Mayor",0.8,IF(N115="Catastrófico",1,))))))</f>
        <v/>
      </c>
      <c r="P115" s="209" t="str">
        <f ca="1">IF(OR(AND(J115="Muy Baja",N115="Leve"),AND(J115="Muy Baja",N115="Menor"),AND(J115="Baja",N115="Leve")),"Bajo",IF(OR(AND(J115="Muy baja",N115="Moderado"),AND(J115="Baja",N115="Menor"),AND(J115="Baja",N115="Moderado"),AND(J115="Media",N115="Leve"),AND(J115="Media",N115="Menor"),AND(J115="Media",N115="Moderado"),AND(J115="Alta",N115="Leve"),AND(J115="Alta",N115="Menor")),"Moderado",IF(OR(AND(J115="Muy Baja",N115="Mayor"),AND(J115="Baja",N115="Mayor"),AND(J115="Media",N115="Mayor"),AND(J115="Alta",N115="Moderado"),AND(J115="Alta",N115="Mayor"),AND(J115="Muy Alta",N115="Leve"),AND(J115="Muy Alta",N115="Menor"),AND(J115="Muy Alta",N115="Moderado"),AND(J115="Muy Alta",N115="Mayor")),"Alto",IF(OR(AND(J115="Muy Baja",N115="Catastrófico"),AND(J115="Baja",N115="Catastrófico"),AND(J115="Media",N115="Catastrófico"),AND(J115="Alta",N115="Catastrófico"),AND(J115="Muy Alta",N115="Catastrófico")),"Extremo",""))))</f>
        <v/>
      </c>
      <c r="Q115" s="115">
        <v>1</v>
      </c>
      <c r="R115" s="116"/>
      <c r="S115" s="117" t="str">
        <f>IF(OR(T115="Preventivo",T115="Detectivo"),"Probabilidad",IF(T115="Correctivo","Impacto",""))</f>
        <v/>
      </c>
      <c r="T115" s="118"/>
      <c r="U115" s="118"/>
      <c r="V115" s="119" t="str">
        <f>IF(AND(T115="Preventivo",U115="Automático"),"50%",IF(AND(T115="Preventivo",U115="Manual"),"40%",IF(AND(T115="Detectivo",U115="Automático"),"40%",IF(AND(T115="Detectivo",U115="Manual"),"30%",IF(AND(T115="Correctivo",U115="Automático"),"35%",IF(AND(T115="Correctivo",U115="Manual"),"25%",""))))))</f>
        <v/>
      </c>
      <c r="W115" s="118"/>
      <c r="X115" s="118"/>
      <c r="Y115" s="118"/>
      <c r="Z115" s="120" t="str">
        <f>IFERROR(IF(S115="Probabilidad",(K115-(+K115*V115)),IF(S115="Impacto",K115,"")),"")</f>
        <v/>
      </c>
      <c r="AA115" s="121" t="str">
        <f>IFERROR(IF(Z115="","",IF(Z115&lt;=0.2,"Muy Baja",IF(Z115&lt;=0.4,"Baja",IF(Z115&lt;=0.6,"Media",IF(Z115&lt;=0.8,"Alta","Muy Alta"))))),"")</f>
        <v/>
      </c>
      <c r="AB115" s="119" t="str">
        <f>+Z115</f>
        <v/>
      </c>
      <c r="AC115" s="121" t="str">
        <f>IFERROR(IF(AD115="","",IF(AD115&lt;=0.2,"Leve",IF(AD115&lt;=0.4,"Menor",IF(AD115&lt;=0.6,"Moderado",IF(AD115&lt;=0.8,"Mayor","Catastrófico"))))),"")</f>
        <v/>
      </c>
      <c r="AD115" s="119" t="str">
        <f>IFERROR(IF(S115="Impacto",(O115-(+O115*V115)),IF(S115="Probabilidad",O115,"")),"")</f>
        <v/>
      </c>
      <c r="AE115" s="122" t="str">
        <f>IFERROR(IF(OR(AND(AA115="Muy Baja",AC115="Leve"),AND(AA115="Muy Baja",AC115="Menor"),AND(AA115="Baja",AC115="Leve")),"Bajo",IF(OR(AND(AA115="Muy baja",AC115="Moderado"),AND(AA115="Baja",AC115="Menor"),AND(AA115="Baja",AC115="Moderado"),AND(AA115="Media",AC115="Leve"),AND(AA115="Media",AC115="Menor"),AND(AA115="Media",AC115="Moderado"),AND(AA115="Alta",AC115="Leve"),AND(AA115="Alta",AC115="Menor")),"Moderado",IF(OR(AND(AA115="Muy Baja",AC115="Mayor"),AND(AA115="Baja",AC115="Mayor"),AND(AA115="Media",AC115="Mayor"),AND(AA115="Alta",AC115="Moderado"),AND(AA115="Alta",AC115="Mayor"),AND(AA115="Muy Alta",AC115="Leve"),AND(AA115="Muy Alta",AC115="Menor"),AND(AA115="Muy Alta",AC115="Moderado"),AND(AA115="Muy Alta",AC115="Mayor")),"Alto",IF(OR(AND(AA115="Muy Baja",AC115="Catastrófico"),AND(AA115="Baja",AC115="Catastrófico"),AND(AA115="Media",AC115="Catastrófico"),AND(AA115="Alta",AC115="Catastrófico"),AND(AA115="Muy Alta",AC115="Catastrófico")),"Extremo","")))),"")</f>
        <v/>
      </c>
      <c r="AF115" s="118"/>
      <c r="AG115" s="123"/>
      <c r="AH115" s="124"/>
      <c r="AI115" s="125"/>
      <c r="AJ115" s="125"/>
      <c r="AK115" s="123"/>
      <c r="AL115" s="124"/>
    </row>
    <row r="116" spans="1:38" x14ac:dyDescent="0.3">
      <c r="A116" s="210"/>
      <c r="B116" s="141"/>
      <c r="C116" s="141"/>
      <c r="D116" s="211"/>
      <c r="E116" s="201"/>
      <c r="F116" s="143"/>
      <c r="G116" s="211"/>
      <c r="H116" s="142"/>
      <c r="I116" s="212"/>
      <c r="J116" s="208"/>
      <c r="K116" s="207"/>
      <c r="L116" s="206"/>
      <c r="M116" s="207">
        <f ca="1">IF(NOT(ISERROR(MATCH(L116,_xlfn.ANCHORARRAY(E128),0))),K130&amp;"Por favor no seleccionar los criterios de impacto",L116)</f>
        <v>0</v>
      </c>
      <c r="N116" s="208"/>
      <c r="O116" s="207"/>
      <c r="P116" s="209"/>
      <c r="Q116" s="115">
        <v>2</v>
      </c>
      <c r="R116" s="116"/>
      <c r="S116" s="117" t="str">
        <f>IF(OR(T116="Preventivo",T116="Detectivo"),"Probabilidad",IF(T116="Correctivo","Impacto",""))</f>
        <v/>
      </c>
      <c r="T116" s="118"/>
      <c r="U116" s="118"/>
      <c r="V116" s="119" t="str">
        <f t="shared" ref="V116:V120" si="155">IF(AND(T116="Preventivo",U116="Automático"),"50%",IF(AND(T116="Preventivo",U116="Manual"),"40%",IF(AND(T116="Detectivo",U116="Automático"),"40%",IF(AND(T116="Detectivo",U116="Manual"),"30%",IF(AND(T116="Correctivo",U116="Automático"),"35%",IF(AND(T116="Correctivo",U116="Manual"),"25%",""))))))</f>
        <v/>
      </c>
      <c r="W116" s="118"/>
      <c r="X116" s="118"/>
      <c r="Y116" s="118"/>
      <c r="Z116" s="120" t="str">
        <f>IFERROR(IF(AND(S115="Probabilidad",S116="Probabilidad"),(AB115-(+AB115*V116)),IF(S116="Probabilidad",(K115-(+K115*V116)),IF(S116="Impacto",AB115,""))),"")</f>
        <v/>
      </c>
      <c r="AA116" s="121" t="str">
        <f t="shared" ref="AA116:AA120" si="156">IFERROR(IF(Z116="","",IF(Z116&lt;=0.2,"Muy Baja",IF(Z116&lt;=0.4,"Baja",IF(Z116&lt;=0.6,"Media",IF(Z116&lt;=0.8,"Alta","Muy Alta"))))),"")</f>
        <v/>
      </c>
      <c r="AB116" s="119" t="str">
        <f t="shared" ref="AB116:AB120" si="157">+Z116</f>
        <v/>
      </c>
      <c r="AC116" s="121" t="str">
        <f t="shared" ref="AC116:AC120" si="158">IFERROR(IF(AD116="","",IF(AD116&lt;=0.2,"Leve",IF(AD116&lt;=0.4,"Menor",IF(AD116&lt;=0.6,"Moderado",IF(AD116&lt;=0.8,"Mayor","Catastrófico"))))),"")</f>
        <v/>
      </c>
      <c r="AD116" s="119" t="str">
        <f>IFERROR(IF(AND(S115="Impacto",S116="Impacto"),(AD109-(+AD109*V116)),IF(S116="Impacto",($O$55-(+$O$55*V116)),IF(S116="Probabilidad",AD109,""))),"")</f>
        <v/>
      </c>
      <c r="AE116" s="122" t="str">
        <f t="shared" ref="AE116:AE117" si="159">IFERROR(IF(OR(AND(AA116="Muy Baja",AC116="Leve"),AND(AA116="Muy Baja",AC116="Menor"),AND(AA116="Baja",AC116="Leve")),"Bajo",IF(OR(AND(AA116="Muy baja",AC116="Moderado"),AND(AA116="Baja",AC116="Menor"),AND(AA116="Baja",AC116="Moderado"),AND(AA116="Media",AC116="Leve"),AND(AA116="Media",AC116="Menor"),AND(AA116="Media",AC116="Moderado"),AND(AA116="Alta",AC116="Leve"),AND(AA116="Alta",AC116="Menor")),"Moderado",IF(OR(AND(AA116="Muy Baja",AC116="Mayor"),AND(AA116="Baja",AC116="Mayor"),AND(AA116="Media",AC116="Mayor"),AND(AA116="Alta",AC116="Moderado"),AND(AA116="Alta",AC116="Mayor"),AND(AA116="Muy Alta",AC116="Leve"),AND(AA116="Muy Alta",AC116="Menor"),AND(AA116="Muy Alta",AC116="Moderado"),AND(AA116="Muy Alta",AC116="Mayor")),"Alto",IF(OR(AND(AA116="Muy Baja",AC116="Catastrófico"),AND(AA116="Baja",AC116="Catastrófico"),AND(AA116="Media",AC116="Catastrófico"),AND(AA116="Alta",AC116="Catastrófico"),AND(AA116="Muy Alta",AC116="Catastrófico")),"Extremo","")))),"")</f>
        <v/>
      </c>
      <c r="AF116" s="118"/>
      <c r="AG116" s="123"/>
      <c r="AH116" s="124"/>
      <c r="AI116" s="125"/>
      <c r="AJ116" s="125"/>
      <c r="AK116" s="123"/>
      <c r="AL116" s="124"/>
    </row>
    <row r="117" spans="1:38" x14ac:dyDescent="0.3">
      <c r="A117" s="210"/>
      <c r="B117" s="141"/>
      <c r="C117" s="141"/>
      <c r="D117" s="211"/>
      <c r="E117" s="201"/>
      <c r="F117" s="143"/>
      <c r="G117" s="211"/>
      <c r="H117" s="142"/>
      <c r="I117" s="212"/>
      <c r="J117" s="208"/>
      <c r="K117" s="207"/>
      <c r="L117" s="206"/>
      <c r="M117" s="207">
        <f ca="1">IF(NOT(ISERROR(MATCH(L117,_xlfn.ANCHORARRAY(E129),0))),K131&amp;"Por favor no seleccionar los criterios de impacto",L117)</f>
        <v>0</v>
      </c>
      <c r="N117" s="208"/>
      <c r="O117" s="207"/>
      <c r="P117" s="209"/>
      <c r="Q117" s="115">
        <v>3</v>
      </c>
      <c r="R117" s="128"/>
      <c r="S117" s="117" t="str">
        <f>IF(OR(T117="Preventivo",T117="Detectivo"),"Probabilidad",IF(T117="Correctivo","Impacto",""))</f>
        <v/>
      </c>
      <c r="T117" s="118"/>
      <c r="U117" s="118"/>
      <c r="V117" s="119" t="str">
        <f t="shared" si="155"/>
        <v/>
      </c>
      <c r="W117" s="118"/>
      <c r="X117" s="118"/>
      <c r="Y117" s="118"/>
      <c r="Z117" s="120" t="str">
        <f>IFERROR(IF(AND(S116="Probabilidad",S117="Probabilidad"),(AB116-(+AB116*V117)),IF(AND(S116="Impacto",S117="Probabilidad"),(AB115-(+AB115*V117)),IF(S117="Impacto",AB116,""))),"")</f>
        <v/>
      </c>
      <c r="AA117" s="121" t="str">
        <f t="shared" si="156"/>
        <v/>
      </c>
      <c r="AB117" s="119" t="str">
        <f t="shared" si="157"/>
        <v/>
      </c>
      <c r="AC117" s="121" t="str">
        <f t="shared" si="158"/>
        <v/>
      </c>
      <c r="AD117" s="119" t="str">
        <f>IFERROR(IF(AND(S116="Impacto",S117="Impacto"),(AD116-(+AD116*V117)),IF(AND(S116="Probabilidad",S117="Impacto"),(AD115-(+AD115*V117)),IF(S117="Probabilidad",AD116,""))),"")</f>
        <v/>
      </c>
      <c r="AE117" s="122" t="str">
        <f t="shared" si="159"/>
        <v/>
      </c>
      <c r="AF117" s="118"/>
      <c r="AG117" s="123"/>
      <c r="AH117" s="124"/>
      <c r="AI117" s="125"/>
      <c r="AJ117" s="125"/>
      <c r="AK117" s="123"/>
      <c r="AL117" s="124"/>
    </row>
    <row r="118" spans="1:38" x14ac:dyDescent="0.3">
      <c r="A118" s="210"/>
      <c r="B118" s="141"/>
      <c r="C118" s="141"/>
      <c r="D118" s="211"/>
      <c r="E118" s="201"/>
      <c r="F118" s="143"/>
      <c r="G118" s="211"/>
      <c r="H118" s="142"/>
      <c r="I118" s="212"/>
      <c r="J118" s="208"/>
      <c r="K118" s="207"/>
      <c r="L118" s="206"/>
      <c r="M118" s="207">
        <f ca="1">IF(NOT(ISERROR(MATCH(L118,_xlfn.ANCHORARRAY(E130),0))),K132&amp;"Por favor no seleccionar los criterios de impacto",L118)</f>
        <v>0</v>
      </c>
      <c r="N118" s="208"/>
      <c r="O118" s="207"/>
      <c r="P118" s="209"/>
      <c r="Q118" s="115">
        <v>4</v>
      </c>
      <c r="R118" s="116"/>
      <c r="S118" s="117" t="str">
        <f t="shared" ref="S118:S120" si="160">IF(OR(T118="Preventivo",T118="Detectivo"),"Probabilidad",IF(T118="Correctivo","Impacto",""))</f>
        <v/>
      </c>
      <c r="T118" s="118"/>
      <c r="U118" s="118"/>
      <c r="V118" s="119" t="str">
        <f t="shared" si="155"/>
        <v/>
      </c>
      <c r="W118" s="118"/>
      <c r="X118" s="118"/>
      <c r="Y118" s="118"/>
      <c r="Z118" s="120" t="str">
        <f t="shared" ref="Z118:Z120" si="161">IFERROR(IF(AND(S117="Probabilidad",S118="Probabilidad"),(AB117-(+AB117*V118)),IF(AND(S117="Impacto",S118="Probabilidad"),(AB116-(+AB116*V118)),IF(S118="Impacto",AB117,""))),"")</f>
        <v/>
      </c>
      <c r="AA118" s="121" t="str">
        <f t="shared" si="156"/>
        <v/>
      </c>
      <c r="AB118" s="119" t="str">
        <f t="shared" si="157"/>
        <v/>
      </c>
      <c r="AC118" s="121" t="str">
        <f t="shared" si="158"/>
        <v/>
      </c>
      <c r="AD118" s="119" t="str">
        <f t="shared" ref="AD118:AD120" si="162">IFERROR(IF(AND(S117="Impacto",S118="Impacto"),(AD117-(+AD117*V118)),IF(AND(S117="Probabilidad",S118="Impacto"),(AD116-(+AD116*V118)),IF(S118="Probabilidad",AD117,""))),"")</f>
        <v/>
      </c>
      <c r="AE118" s="122" t="str">
        <f>IFERROR(IF(OR(AND(AA118="Muy Baja",AC118="Leve"),AND(AA118="Muy Baja",AC118="Menor"),AND(AA118="Baja",AC118="Leve")),"Bajo",IF(OR(AND(AA118="Muy baja",AC118="Moderado"),AND(AA118="Baja",AC118="Menor"),AND(AA118="Baja",AC118="Moderado"),AND(AA118="Media",AC118="Leve"),AND(AA118="Media",AC118="Menor"),AND(AA118="Media",AC118="Moderado"),AND(AA118="Alta",AC118="Leve"),AND(AA118="Alta",AC118="Menor")),"Moderado",IF(OR(AND(AA118="Muy Baja",AC118="Mayor"),AND(AA118="Baja",AC118="Mayor"),AND(AA118="Media",AC118="Mayor"),AND(AA118="Alta",AC118="Moderado"),AND(AA118="Alta",AC118="Mayor"),AND(AA118="Muy Alta",AC118="Leve"),AND(AA118="Muy Alta",AC118="Menor"),AND(AA118="Muy Alta",AC118="Moderado"),AND(AA118="Muy Alta",AC118="Mayor")),"Alto",IF(OR(AND(AA118="Muy Baja",AC118="Catastrófico"),AND(AA118="Baja",AC118="Catastrófico"),AND(AA118="Media",AC118="Catastrófico"),AND(AA118="Alta",AC118="Catastrófico"),AND(AA118="Muy Alta",AC118="Catastrófico")),"Extremo","")))),"")</f>
        <v/>
      </c>
      <c r="AF118" s="118"/>
      <c r="AG118" s="123"/>
      <c r="AH118" s="124"/>
      <c r="AI118" s="125"/>
      <c r="AJ118" s="125"/>
      <c r="AK118" s="123"/>
      <c r="AL118" s="124"/>
    </row>
    <row r="119" spans="1:38" x14ac:dyDescent="0.3">
      <c r="A119" s="210"/>
      <c r="B119" s="141"/>
      <c r="C119" s="141"/>
      <c r="D119" s="211"/>
      <c r="E119" s="201"/>
      <c r="F119" s="143"/>
      <c r="G119" s="211"/>
      <c r="H119" s="142"/>
      <c r="I119" s="212"/>
      <c r="J119" s="208"/>
      <c r="K119" s="207"/>
      <c r="L119" s="206"/>
      <c r="M119" s="207">
        <f ca="1">IF(NOT(ISERROR(MATCH(L119,_xlfn.ANCHORARRAY(E131),0))),K133&amp;"Por favor no seleccionar los criterios de impacto",L119)</f>
        <v>0</v>
      </c>
      <c r="N119" s="208"/>
      <c r="O119" s="207"/>
      <c r="P119" s="209"/>
      <c r="Q119" s="115">
        <v>5</v>
      </c>
      <c r="R119" s="116"/>
      <c r="S119" s="117" t="str">
        <f t="shared" si="160"/>
        <v/>
      </c>
      <c r="T119" s="118"/>
      <c r="U119" s="118"/>
      <c r="V119" s="119" t="str">
        <f t="shared" si="155"/>
        <v/>
      </c>
      <c r="W119" s="118"/>
      <c r="X119" s="118"/>
      <c r="Y119" s="118"/>
      <c r="Z119" s="120" t="str">
        <f t="shared" si="161"/>
        <v/>
      </c>
      <c r="AA119" s="121" t="str">
        <f t="shared" si="156"/>
        <v/>
      </c>
      <c r="AB119" s="119" t="str">
        <f t="shared" si="157"/>
        <v/>
      </c>
      <c r="AC119" s="121" t="str">
        <f t="shared" si="158"/>
        <v/>
      </c>
      <c r="AD119" s="119" t="str">
        <f t="shared" si="162"/>
        <v/>
      </c>
      <c r="AE119" s="122" t="str">
        <f t="shared" ref="AE119:AE120" si="163">IFERROR(IF(OR(AND(AA119="Muy Baja",AC119="Leve"),AND(AA119="Muy Baja",AC119="Menor"),AND(AA119="Baja",AC119="Leve")),"Bajo",IF(OR(AND(AA119="Muy baja",AC119="Moderado"),AND(AA119="Baja",AC119="Menor"),AND(AA119="Baja",AC119="Moderado"),AND(AA119="Media",AC119="Leve"),AND(AA119="Media",AC119="Menor"),AND(AA119="Media",AC119="Moderado"),AND(AA119="Alta",AC119="Leve"),AND(AA119="Alta",AC119="Menor")),"Moderado",IF(OR(AND(AA119="Muy Baja",AC119="Mayor"),AND(AA119="Baja",AC119="Mayor"),AND(AA119="Media",AC119="Mayor"),AND(AA119="Alta",AC119="Moderado"),AND(AA119="Alta",AC119="Mayor"),AND(AA119="Muy Alta",AC119="Leve"),AND(AA119="Muy Alta",AC119="Menor"),AND(AA119="Muy Alta",AC119="Moderado"),AND(AA119="Muy Alta",AC119="Mayor")),"Alto",IF(OR(AND(AA119="Muy Baja",AC119="Catastrófico"),AND(AA119="Baja",AC119="Catastrófico"),AND(AA119="Media",AC119="Catastrófico"),AND(AA119="Alta",AC119="Catastrófico"),AND(AA119="Muy Alta",AC119="Catastrófico")),"Extremo","")))),"")</f>
        <v/>
      </c>
      <c r="AF119" s="118"/>
      <c r="AG119" s="123"/>
      <c r="AH119" s="124"/>
      <c r="AI119" s="125"/>
      <c r="AJ119" s="125"/>
      <c r="AK119" s="123"/>
      <c r="AL119" s="124"/>
    </row>
    <row r="120" spans="1:38" x14ac:dyDescent="0.3">
      <c r="A120" s="210"/>
      <c r="B120" s="141"/>
      <c r="C120" s="141"/>
      <c r="D120" s="211"/>
      <c r="E120" s="201"/>
      <c r="F120" s="143"/>
      <c r="G120" s="211"/>
      <c r="H120" s="142"/>
      <c r="I120" s="212"/>
      <c r="J120" s="208"/>
      <c r="K120" s="207"/>
      <c r="L120" s="206"/>
      <c r="M120" s="207">
        <f ca="1">IF(NOT(ISERROR(MATCH(L120,_xlfn.ANCHORARRAY(E132),0))),K134&amp;"Por favor no seleccionar los criterios de impacto",L120)</f>
        <v>0</v>
      </c>
      <c r="N120" s="208"/>
      <c r="O120" s="207"/>
      <c r="P120" s="209"/>
      <c r="Q120" s="115">
        <v>6</v>
      </c>
      <c r="R120" s="116"/>
      <c r="S120" s="117" t="str">
        <f t="shared" si="160"/>
        <v/>
      </c>
      <c r="T120" s="118"/>
      <c r="U120" s="118"/>
      <c r="V120" s="119" t="str">
        <f t="shared" si="155"/>
        <v/>
      </c>
      <c r="W120" s="118"/>
      <c r="X120" s="118"/>
      <c r="Y120" s="118"/>
      <c r="Z120" s="120" t="str">
        <f t="shared" si="161"/>
        <v/>
      </c>
      <c r="AA120" s="121" t="str">
        <f t="shared" si="156"/>
        <v/>
      </c>
      <c r="AB120" s="119" t="str">
        <f t="shared" si="157"/>
        <v/>
      </c>
      <c r="AC120" s="121" t="str">
        <f t="shared" si="158"/>
        <v/>
      </c>
      <c r="AD120" s="119" t="str">
        <f t="shared" si="162"/>
        <v/>
      </c>
      <c r="AE120" s="122" t="str">
        <f t="shared" si="163"/>
        <v/>
      </c>
      <c r="AF120" s="118"/>
      <c r="AG120" s="123"/>
      <c r="AH120" s="124"/>
      <c r="AI120" s="125"/>
      <c r="AJ120" s="125"/>
      <c r="AK120" s="123"/>
      <c r="AL120" s="124"/>
    </row>
    <row r="121" spans="1:38" x14ac:dyDescent="0.3">
      <c r="A121" s="210">
        <v>10</v>
      </c>
      <c r="B121" s="141"/>
      <c r="C121" s="141"/>
      <c r="D121" s="211"/>
      <c r="E121" s="201"/>
      <c r="F121" s="143"/>
      <c r="G121" s="211"/>
      <c r="H121" s="142"/>
      <c r="I121" s="212"/>
      <c r="J121" s="208" t="str">
        <f>IF(I121&lt;=0,"",IF(I121&lt;=2,"Muy Baja",IF(I121&lt;=24,"Baja",IF(I121&lt;=500,"Media",IF(I121&lt;=5000,"Alta","Muy Alta")))))</f>
        <v/>
      </c>
      <c r="K121" s="207" t="str">
        <f>IF(J121="","",IF(J121="Muy Baja",0.2,IF(J121="Baja",0.4,IF(J121="Media",0.6,IF(J121="Alta",0.8,IF(J121="Muy Alta",1,))))))</f>
        <v/>
      </c>
      <c r="L121" s="206"/>
      <c r="M121" s="207">
        <f ca="1">IF(NOT(ISERROR(MATCH(L121,'Tabla Impacto'!$B$221:$B$223,0))),'Tabla Impacto'!$F$223&amp;"Por favor no seleccionar los criterios de impacto(Afectación Económica o presupuestal y Pérdida Reputacional)",L121)</f>
        <v>0</v>
      </c>
      <c r="N121" s="208" t="str">
        <f ca="1">IF(OR(M121='Tabla Impacto'!$C$11,M121='Tabla Impacto'!$D$11),"Leve",IF(OR(M121='Tabla Impacto'!$C$12,M121='Tabla Impacto'!$D$12),"Menor",IF(OR(M121='Tabla Impacto'!$C$13,M121='Tabla Impacto'!$D$13),"Moderado",IF(OR(M121='Tabla Impacto'!$C$14,M121='Tabla Impacto'!$D$14),"Mayor",IF(OR(M121='Tabla Impacto'!$C$15,M121='Tabla Impacto'!$D$15),"Catastrófico","")))))</f>
        <v/>
      </c>
      <c r="O121" s="207" t="str">
        <f ca="1">IF(N121="","",IF(N121="Leve",0.2,IF(N121="Menor",0.4,IF(N121="Moderado",0.6,IF(N121="Mayor",0.8,IF(N121="Catastrófico",1,))))))</f>
        <v/>
      </c>
      <c r="P121" s="209" t="str">
        <f ca="1">IF(OR(AND(J121="Muy Baja",N121="Leve"),AND(J121="Muy Baja",N121="Menor"),AND(J121="Baja",N121="Leve")),"Bajo",IF(OR(AND(J121="Muy baja",N121="Moderado"),AND(J121="Baja",N121="Menor"),AND(J121="Baja",N121="Moderado"),AND(J121="Media",N121="Leve"),AND(J121="Media",N121="Menor"),AND(J121="Media",N121="Moderado"),AND(J121="Alta",N121="Leve"),AND(J121="Alta",N121="Menor")),"Moderado",IF(OR(AND(J121="Muy Baja",N121="Mayor"),AND(J121="Baja",N121="Mayor"),AND(J121="Media",N121="Mayor"),AND(J121="Alta",N121="Moderado"),AND(J121="Alta",N121="Mayor"),AND(J121="Muy Alta",N121="Leve"),AND(J121="Muy Alta",N121="Menor"),AND(J121="Muy Alta",N121="Moderado"),AND(J121="Muy Alta",N121="Mayor")),"Alto",IF(OR(AND(J121="Muy Baja",N121="Catastrófico"),AND(J121="Baja",N121="Catastrófico"),AND(J121="Media",N121="Catastrófico"),AND(J121="Alta",N121="Catastrófico"),AND(J121="Muy Alta",N121="Catastrófico")),"Extremo",""))))</f>
        <v/>
      </c>
      <c r="Q121" s="115">
        <v>1</v>
      </c>
      <c r="R121" s="116"/>
      <c r="S121" s="117" t="str">
        <f>IF(OR(T121="Preventivo",T121="Detectivo"),"Probabilidad",IF(T121="Correctivo","Impacto",""))</f>
        <v/>
      </c>
      <c r="T121" s="118"/>
      <c r="U121" s="118"/>
      <c r="V121" s="119" t="str">
        <f>IF(AND(T121="Preventivo",U121="Automático"),"50%",IF(AND(T121="Preventivo",U121="Manual"),"40%",IF(AND(T121="Detectivo",U121="Automático"),"40%",IF(AND(T121="Detectivo",U121="Manual"),"30%",IF(AND(T121="Correctivo",U121="Automático"),"35%",IF(AND(T121="Correctivo",U121="Manual"),"25%",""))))))</f>
        <v/>
      </c>
      <c r="W121" s="118"/>
      <c r="X121" s="118"/>
      <c r="Y121" s="118"/>
      <c r="Z121" s="120" t="str">
        <f>IFERROR(IF(S121="Probabilidad",(K121-(+K121*V121)),IF(S121="Impacto",K121,"")),"")</f>
        <v/>
      </c>
      <c r="AA121" s="121" t="str">
        <f>IFERROR(IF(Z121="","",IF(Z121&lt;=0.2,"Muy Baja",IF(Z121&lt;=0.4,"Baja",IF(Z121&lt;=0.6,"Media",IF(Z121&lt;=0.8,"Alta","Muy Alta"))))),"")</f>
        <v/>
      </c>
      <c r="AB121" s="119" t="str">
        <f>+Z121</f>
        <v/>
      </c>
      <c r="AC121" s="121" t="str">
        <f>IFERROR(IF(AD121="","",IF(AD121&lt;=0.2,"Leve",IF(AD121&lt;=0.4,"Menor",IF(AD121&lt;=0.6,"Moderado",IF(AD121&lt;=0.8,"Mayor","Catastrófico"))))),"")</f>
        <v/>
      </c>
      <c r="AD121" s="119" t="str">
        <f>IFERROR(IF(S121="Impacto",(O121-(+O121*V121)),IF(S121="Probabilidad",O121,"")),"")</f>
        <v/>
      </c>
      <c r="AE121" s="122" t="str">
        <f>IFERROR(IF(OR(AND(AA121="Muy Baja",AC121="Leve"),AND(AA121="Muy Baja",AC121="Menor"),AND(AA121="Baja",AC121="Leve")),"Bajo",IF(OR(AND(AA121="Muy baja",AC121="Moderado"),AND(AA121="Baja",AC121="Menor"),AND(AA121="Baja",AC121="Moderado"),AND(AA121="Media",AC121="Leve"),AND(AA121="Media",AC121="Menor"),AND(AA121="Media",AC121="Moderado"),AND(AA121="Alta",AC121="Leve"),AND(AA121="Alta",AC121="Menor")),"Moderado",IF(OR(AND(AA121="Muy Baja",AC121="Mayor"),AND(AA121="Baja",AC121="Mayor"),AND(AA121="Media",AC121="Mayor"),AND(AA121="Alta",AC121="Moderado"),AND(AA121="Alta",AC121="Mayor"),AND(AA121="Muy Alta",AC121="Leve"),AND(AA121="Muy Alta",AC121="Menor"),AND(AA121="Muy Alta",AC121="Moderado"),AND(AA121="Muy Alta",AC121="Mayor")),"Alto",IF(OR(AND(AA121="Muy Baja",AC121="Catastrófico"),AND(AA121="Baja",AC121="Catastrófico"),AND(AA121="Media",AC121="Catastrófico"),AND(AA121="Alta",AC121="Catastrófico"),AND(AA121="Muy Alta",AC121="Catastrófico")),"Extremo","")))),"")</f>
        <v/>
      </c>
      <c r="AF121" s="118"/>
      <c r="AG121" s="123"/>
      <c r="AH121" s="124"/>
      <c r="AI121" s="125"/>
      <c r="AJ121" s="125"/>
      <c r="AK121" s="123"/>
      <c r="AL121" s="124"/>
    </row>
    <row r="122" spans="1:38" x14ac:dyDescent="0.3">
      <c r="A122" s="210"/>
      <c r="B122" s="141"/>
      <c r="C122" s="141"/>
      <c r="D122" s="211"/>
      <c r="E122" s="201"/>
      <c r="F122" s="143"/>
      <c r="G122" s="211"/>
      <c r="H122" s="142"/>
      <c r="I122" s="212"/>
      <c r="J122" s="208"/>
      <c r="K122" s="207"/>
      <c r="L122" s="206"/>
      <c r="M122" s="207">
        <f ca="1">IF(NOT(ISERROR(MATCH(L122,_xlfn.ANCHORARRAY(E134),0))),K136&amp;"Por favor no seleccionar los criterios de impacto",L122)</f>
        <v>0</v>
      </c>
      <c r="N122" s="208"/>
      <c r="O122" s="207"/>
      <c r="P122" s="209"/>
      <c r="Q122" s="115">
        <v>2</v>
      </c>
      <c r="R122" s="116"/>
      <c r="S122" s="117" t="str">
        <f>IF(OR(T122="Preventivo",T122="Detectivo"),"Probabilidad",IF(T122="Correctivo","Impacto",""))</f>
        <v/>
      </c>
      <c r="T122" s="118"/>
      <c r="U122" s="118"/>
      <c r="V122" s="119" t="str">
        <f t="shared" ref="V122:V126" si="164">IF(AND(T122="Preventivo",U122="Automático"),"50%",IF(AND(T122="Preventivo",U122="Manual"),"40%",IF(AND(T122="Detectivo",U122="Automático"),"40%",IF(AND(T122="Detectivo",U122="Manual"),"30%",IF(AND(T122="Correctivo",U122="Automático"),"35%",IF(AND(T122="Correctivo",U122="Manual"),"25%",""))))))</f>
        <v/>
      </c>
      <c r="W122" s="118"/>
      <c r="X122" s="118"/>
      <c r="Y122" s="118"/>
      <c r="Z122" s="120" t="str">
        <f>IFERROR(IF(AND(S121="Probabilidad",S122="Probabilidad"),(AB121-(+AB121*V122)),IF(S122="Probabilidad",(K121-(+K121*V122)),IF(S122="Impacto",AB121,""))),"")</f>
        <v/>
      </c>
      <c r="AA122" s="121" t="str">
        <f t="shared" ref="AA122:AA126" si="165">IFERROR(IF(Z122="","",IF(Z122&lt;=0.2,"Muy Baja",IF(Z122&lt;=0.4,"Baja",IF(Z122&lt;=0.6,"Media",IF(Z122&lt;=0.8,"Alta","Muy Alta"))))),"")</f>
        <v/>
      </c>
      <c r="AB122" s="119" t="str">
        <f t="shared" ref="AB122:AB126" si="166">+Z122</f>
        <v/>
      </c>
      <c r="AC122" s="121" t="str">
        <f t="shared" ref="AC122:AC126" si="167">IFERROR(IF(AD122="","",IF(AD122&lt;=0.2,"Leve",IF(AD122&lt;=0.4,"Menor",IF(AD122&lt;=0.6,"Moderado",IF(AD122&lt;=0.8,"Mayor","Catastrófico"))))),"")</f>
        <v/>
      </c>
      <c r="AD122" s="119" t="str">
        <f>IFERROR(IF(AND(S121="Impacto",S122="Impacto"),(AD115-(+AD115*V122)),IF(S122="Impacto",($O$61-(+$O$61*V122)),IF(S122="Probabilidad",AD115,""))),"")</f>
        <v/>
      </c>
      <c r="AE122" s="122" t="str">
        <f t="shared" ref="AE122:AE123" si="168">IFERROR(IF(OR(AND(AA122="Muy Baja",AC122="Leve"),AND(AA122="Muy Baja",AC122="Menor"),AND(AA122="Baja",AC122="Leve")),"Bajo",IF(OR(AND(AA122="Muy baja",AC122="Moderado"),AND(AA122="Baja",AC122="Menor"),AND(AA122="Baja",AC122="Moderado"),AND(AA122="Media",AC122="Leve"),AND(AA122="Media",AC122="Menor"),AND(AA122="Media",AC122="Moderado"),AND(AA122="Alta",AC122="Leve"),AND(AA122="Alta",AC122="Menor")),"Moderado",IF(OR(AND(AA122="Muy Baja",AC122="Mayor"),AND(AA122="Baja",AC122="Mayor"),AND(AA122="Media",AC122="Mayor"),AND(AA122="Alta",AC122="Moderado"),AND(AA122="Alta",AC122="Mayor"),AND(AA122="Muy Alta",AC122="Leve"),AND(AA122="Muy Alta",AC122="Menor"),AND(AA122="Muy Alta",AC122="Moderado"),AND(AA122="Muy Alta",AC122="Mayor")),"Alto",IF(OR(AND(AA122="Muy Baja",AC122="Catastrófico"),AND(AA122="Baja",AC122="Catastrófico"),AND(AA122="Media",AC122="Catastrófico"),AND(AA122="Alta",AC122="Catastrófico"),AND(AA122="Muy Alta",AC122="Catastrófico")),"Extremo","")))),"")</f>
        <v/>
      </c>
      <c r="AF122" s="118"/>
      <c r="AG122" s="123"/>
      <c r="AH122" s="124"/>
      <c r="AI122" s="125"/>
      <c r="AJ122" s="125"/>
      <c r="AK122" s="123"/>
      <c r="AL122" s="124"/>
    </row>
    <row r="123" spans="1:38" x14ac:dyDescent="0.3">
      <c r="A123" s="210"/>
      <c r="B123" s="141"/>
      <c r="C123" s="141"/>
      <c r="D123" s="211"/>
      <c r="E123" s="201"/>
      <c r="F123" s="143"/>
      <c r="G123" s="211"/>
      <c r="H123" s="142"/>
      <c r="I123" s="212"/>
      <c r="J123" s="208"/>
      <c r="K123" s="207"/>
      <c r="L123" s="206"/>
      <c r="M123" s="207">
        <f ca="1">IF(NOT(ISERROR(MATCH(L123,_xlfn.ANCHORARRAY(E135),0))),K137&amp;"Por favor no seleccionar los criterios de impacto",L123)</f>
        <v>0</v>
      </c>
      <c r="N123" s="208"/>
      <c r="O123" s="207"/>
      <c r="P123" s="209"/>
      <c r="Q123" s="115">
        <v>3</v>
      </c>
      <c r="R123" s="128"/>
      <c r="S123" s="117" t="str">
        <f>IF(OR(T123="Preventivo",T123="Detectivo"),"Probabilidad",IF(T123="Correctivo","Impacto",""))</f>
        <v/>
      </c>
      <c r="T123" s="118"/>
      <c r="U123" s="118"/>
      <c r="V123" s="119" t="str">
        <f t="shared" si="164"/>
        <v/>
      </c>
      <c r="W123" s="118"/>
      <c r="X123" s="118"/>
      <c r="Y123" s="118"/>
      <c r="Z123" s="120" t="str">
        <f>IFERROR(IF(AND(S122="Probabilidad",S123="Probabilidad"),(AB122-(+AB122*V123)),IF(AND(S122="Impacto",S123="Probabilidad"),(AB121-(+AB121*V123)),IF(S123="Impacto",AB122,""))),"")</f>
        <v/>
      </c>
      <c r="AA123" s="121" t="str">
        <f t="shared" si="165"/>
        <v/>
      </c>
      <c r="AB123" s="119" t="str">
        <f t="shared" si="166"/>
        <v/>
      </c>
      <c r="AC123" s="121" t="str">
        <f t="shared" si="167"/>
        <v/>
      </c>
      <c r="AD123" s="119" t="str">
        <f>IFERROR(IF(AND(S122="Impacto",S123="Impacto"),(AD122-(+AD122*V123)),IF(AND(S122="Probabilidad",S123="Impacto"),(AD121-(+AD121*V123)),IF(S123="Probabilidad",AD122,""))),"")</f>
        <v/>
      </c>
      <c r="AE123" s="122" t="str">
        <f t="shared" si="168"/>
        <v/>
      </c>
      <c r="AF123" s="118"/>
      <c r="AG123" s="123"/>
      <c r="AH123" s="124"/>
      <c r="AI123" s="125"/>
      <c r="AJ123" s="125"/>
      <c r="AK123" s="123"/>
      <c r="AL123" s="124"/>
    </row>
    <row r="124" spans="1:38" x14ac:dyDescent="0.3">
      <c r="A124" s="210"/>
      <c r="B124" s="141"/>
      <c r="C124" s="141"/>
      <c r="D124" s="211"/>
      <c r="E124" s="201"/>
      <c r="F124" s="143"/>
      <c r="G124" s="211"/>
      <c r="H124" s="142"/>
      <c r="I124" s="212"/>
      <c r="J124" s="208"/>
      <c r="K124" s="207"/>
      <c r="L124" s="206"/>
      <c r="M124" s="207">
        <f ca="1">IF(NOT(ISERROR(MATCH(L124,_xlfn.ANCHORARRAY(E136),0))),K138&amp;"Por favor no seleccionar los criterios de impacto",L124)</f>
        <v>0</v>
      </c>
      <c r="N124" s="208"/>
      <c r="O124" s="207"/>
      <c r="P124" s="209"/>
      <c r="Q124" s="115">
        <v>4</v>
      </c>
      <c r="R124" s="116"/>
      <c r="S124" s="117" t="str">
        <f t="shared" ref="S124:S126" si="169">IF(OR(T124="Preventivo",T124="Detectivo"),"Probabilidad",IF(T124="Correctivo","Impacto",""))</f>
        <v/>
      </c>
      <c r="T124" s="118"/>
      <c r="U124" s="118"/>
      <c r="V124" s="119" t="str">
        <f t="shared" si="164"/>
        <v/>
      </c>
      <c r="W124" s="118"/>
      <c r="X124" s="118"/>
      <c r="Y124" s="118"/>
      <c r="Z124" s="120" t="str">
        <f t="shared" ref="Z124:Z126" si="170">IFERROR(IF(AND(S123="Probabilidad",S124="Probabilidad"),(AB123-(+AB123*V124)),IF(AND(S123="Impacto",S124="Probabilidad"),(AB122-(+AB122*V124)),IF(S124="Impacto",AB123,""))),"")</f>
        <v/>
      </c>
      <c r="AA124" s="121" t="str">
        <f t="shared" si="165"/>
        <v/>
      </c>
      <c r="AB124" s="119" t="str">
        <f t="shared" si="166"/>
        <v/>
      </c>
      <c r="AC124" s="121" t="str">
        <f t="shared" si="167"/>
        <v/>
      </c>
      <c r="AD124" s="119" t="str">
        <f t="shared" ref="AD124:AD126" si="171">IFERROR(IF(AND(S123="Impacto",S124="Impacto"),(AD123-(+AD123*V124)),IF(AND(S123="Probabilidad",S124="Impacto"),(AD122-(+AD122*V124)),IF(S124="Probabilidad",AD123,""))),"")</f>
        <v/>
      </c>
      <c r="AE124" s="122" t="str">
        <f>IFERROR(IF(OR(AND(AA124="Muy Baja",AC124="Leve"),AND(AA124="Muy Baja",AC124="Menor"),AND(AA124="Baja",AC124="Leve")),"Bajo",IF(OR(AND(AA124="Muy baja",AC124="Moderado"),AND(AA124="Baja",AC124="Menor"),AND(AA124="Baja",AC124="Moderado"),AND(AA124="Media",AC124="Leve"),AND(AA124="Media",AC124="Menor"),AND(AA124="Media",AC124="Moderado"),AND(AA124="Alta",AC124="Leve"),AND(AA124="Alta",AC124="Menor")),"Moderado",IF(OR(AND(AA124="Muy Baja",AC124="Mayor"),AND(AA124="Baja",AC124="Mayor"),AND(AA124="Media",AC124="Mayor"),AND(AA124="Alta",AC124="Moderado"),AND(AA124="Alta",AC124="Mayor"),AND(AA124="Muy Alta",AC124="Leve"),AND(AA124="Muy Alta",AC124="Menor"),AND(AA124="Muy Alta",AC124="Moderado"),AND(AA124="Muy Alta",AC124="Mayor")),"Alto",IF(OR(AND(AA124="Muy Baja",AC124="Catastrófico"),AND(AA124="Baja",AC124="Catastrófico"),AND(AA124="Media",AC124="Catastrófico"),AND(AA124="Alta",AC124="Catastrófico"),AND(AA124="Muy Alta",AC124="Catastrófico")),"Extremo","")))),"")</f>
        <v/>
      </c>
      <c r="AF124" s="118"/>
      <c r="AG124" s="123"/>
      <c r="AH124" s="124"/>
      <c r="AI124" s="125"/>
      <c r="AJ124" s="125"/>
      <c r="AK124" s="123"/>
      <c r="AL124" s="124"/>
    </row>
    <row r="125" spans="1:38" x14ac:dyDescent="0.3">
      <c r="A125" s="210"/>
      <c r="B125" s="141"/>
      <c r="C125" s="141"/>
      <c r="D125" s="211"/>
      <c r="E125" s="201"/>
      <c r="F125" s="143"/>
      <c r="G125" s="211"/>
      <c r="H125" s="142"/>
      <c r="I125" s="212"/>
      <c r="J125" s="208"/>
      <c r="K125" s="207"/>
      <c r="L125" s="206"/>
      <c r="M125" s="207">
        <f ca="1">IF(NOT(ISERROR(MATCH(L125,_xlfn.ANCHORARRAY(E137),0))),K139&amp;"Por favor no seleccionar los criterios de impacto",L125)</f>
        <v>0</v>
      </c>
      <c r="N125" s="208"/>
      <c r="O125" s="207"/>
      <c r="P125" s="209"/>
      <c r="Q125" s="115">
        <v>5</v>
      </c>
      <c r="R125" s="116"/>
      <c r="S125" s="117" t="str">
        <f t="shared" si="169"/>
        <v/>
      </c>
      <c r="T125" s="118"/>
      <c r="U125" s="118"/>
      <c r="V125" s="119" t="str">
        <f t="shared" si="164"/>
        <v/>
      </c>
      <c r="W125" s="118"/>
      <c r="X125" s="118"/>
      <c r="Y125" s="118"/>
      <c r="Z125" s="120" t="str">
        <f t="shared" si="170"/>
        <v/>
      </c>
      <c r="AA125" s="121" t="str">
        <f t="shared" si="165"/>
        <v/>
      </c>
      <c r="AB125" s="119" t="str">
        <f t="shared" si="166"/>
        <v/>
      </c>
      <c r="AC125" s="121" t="str">
        <f t="shared" si="167"/>
        <v/>
      </c>
      <c r="AD125" s="119" t="str">
        <f t="shared" si="171"/>
        <v/>
      </c>
      <c r="AE125" s="122" t="str">
        <f t="shared" ref="AE125:AE126" si="172">IFERROR(IF(OR(AND(AA125="Muy Baja",AC125="Leve"),AND(AA125="Muy Baja",AC125="Menor"),AND(AA125="Baja",AC125="Leve")),"Bajo",IF(OR(AND(AA125="Muy baja",AC125="Moderado"),AND(AA125="Baja",AC125="Menor"),AND(AA125="Baja",AC125="Moderado"),AND(AA125="Media",AC125="Leve"),AND(AA125="Media",AC125="Menor"),AND(AA125="Media",AC125="Moderado"),AND(AA125="Alta",AC125="Leve"),AND(AA125="Alta",AC125="Menor")),"Moderado",IF(OR(AND(AA125="Muy Baja",AC125="Mayor"),AND(AA125="Baja",AC125="Mayor"),AND(AA125="Media",AC125="Mayor"),AND(AA125="Alta",AC125="Moderado"),AND(AA125="Alta",AC125="Mayor"),AND(AA125="Muy Alta",AC125="Leve"),AND(AA125="Muy Alta",AC125="Menor"),AND(AA125="Muy Alta",AC125="Moderado"),AND(AA125="Muy Alta",AC125="Mayor")),"Alto",IF(OR(AND(AA125="Muy Baja",AC125="Catastrófico"),AND(AA125="Baja",AC125="Catastrófico"),AND(AA125="Media",AC125="Catastrófico"),AND(AA125="Alta",AC125="Catastrófico"),AND(AA125="Muy Alta",AC125="Catastrófico")),"Extremo","")))),"")</f>
        <v/>
      </c>
      <c r="AF125" s="118"/>
      <c r="AG125" s="123"/>
      <c r="AH125" s="124"/>
      <c r="AI125" s="125"/>
      <c r="AJ125" s="125"/>
      <c r="AK125" s="123"/>
      <c r="AL125" s="124"/>
    </row>
    <row r="126" spans="1:38" x14ac:dyDescent="0.3">
      <c r="A126" s="210"/>
      <c r="B126" s="141"/>
      <c r="C126" s="141"/>
      <c r="D126" s="211"/>
      <c r="E126" s="201"/>
      <c r="F126" s="143"/>
      <c r="G126" s="211"/>
      <c r="H126" s="142"/>
      <c r="I126" s="212"/>
      <c r="J126" s="208"/>
      <c r="K126" s="207"/>
      <c r="L126" s="206"/>
      <c r="M126" s="207">
        <f ca="1">IF(NOT(ISERROR(MATCH(L126,_xlfn.ANCHORARRAY(E138),0))),K140&amp;"Por favor no seleccionar los criterios de impacto",L126)</f>
        <v>0</v>
      </c>
      <c r="N126" s="208"/>
      <c r="O126" s="207"/>
      <c r="P126" s="209"/>
      <c r="Q126" s="115">
        <v>6</v>
      </c>
      <c r="R126" s="116"/>
      <c r="S126" s="117" t="str">
        <f t="shared" si="169"/>
        <v/>
      </c>
      <c r="T126" s="118"/>
      <c r="U126" s="118"/>
      <c r="V126" s="119" t="str">
        <f t="shared" si="164"/>
        <v/>
      </c>
      <c r="W126" s="118"/>
      <c r="X126" s="118"/>
      <c r="Y126" s="118"/>
      <c r="Z126" s="120" t="str">
        <f t="shared" si="170"/>
        <v/>
      </c>
      <c r="AA126" s="121" t="str">
        <f t="shared" si="165"/>
        <v/>
      </c>
      <c r="AB126" s="119" t="str">
        <f t="shared" si="166"/>
        <v/>
      </c>
      <c r="AC126" s="121" t="str">
        <f t="shared" si="167"/>
        <v/>
      </c>
      <c r="AD126" s="119" t="str">
        <f t="shared" si="171"/>
        <v/>
      </c>
      <c r="AE126" s="122" t="str">
        <f t="shared" si="172"/>
        <v/>
      </c>
      <c r="AF126" s="118"/>
      <c r="AG126" s="123"/>
      <c r="AH126" s="124"/>
      <c r="AI126" s="125"/>
      <c r="AJ126" s="125"/>
      <c r="AK126" s="123"/>
      <c r="AL126" s="124"/>
    </row>
    <row r="127" spans="1:38" s="134" customFormat="1" x14ac:dyDescent="0.3">
      <c r="A127" s="133"/>
      <c r="B127" s="133"/>
      <c r="C127" s="133"/>
      <c r="D127" s="133"/>
      <c r="G127" s="135"/>
      <c r="H127" s="135"/>
    </row>
    <row r="128" spans="1:38" ht="30" customHeight="1" x14ac:dyDescent="0.3">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row>
    <row r="129" spans="1:8" s="137" customFormat="1" x14ac:dyDescent="0.3">
      <c r="A129" s="136"/>
      <c r="B129" s="136"/>
      <c r="C129" s="136"/>
      <c r="D129" s="136"/>
      <c r="G129" s="138"/>
      <c r="H129" s="138"/>
    </row>
  </sheetData>
  <dataConsolidate/>
  <mergeCells count="293">
    <mergeCell ref="N61:N66"/>
    <mergeCell ref="O61:O66"/>
    <mergeCell ref="P61:P66"/>
    <mergeCell ref="L55:L60"/>
    <mergeCell ref="M55:M60"/>
    <mergeCell ref="F13:F18"/>
    <mergeCell ref="H13:H18"/>
    <mergeCell ref="H19:H24"/>
    <mergeCell ref="F19:F24"/>
    <mergeCell ref="F25:F30"/>
    <mergeCell ref="H25:H30"/>
    <mergeCell ref="N55:N60"/>
    <mergeCell ref="N37:N42"/>
    <mergeCell ref="N31:N36"/>
    <mergeCell ref="L25:L30"/>
    <mergeCell ref="M25:M30"/>
    <mergeCell ref="N25:N30"/>
    <mergeCell ref="O25:O30"/>
    <mergeCell ref="P25:P30"/>
    <mergeCell ref="O31:O36"/>
    <mergeCell ref="P31:P36"/>
    <mergeCell ref="O37:O42"/>
    <mergeCell ref="P37:P42"/>
    <mergeCell ref="M13:M18"/>
    <mergeCell ref="A61:A66"/>
    <mergeCell ref="D61:D66"/>
    <mergeCell ref="E61:E66"/>
    <mergeCell ref="G61:G66"/>
    <mergeCell ref="I61:I66"/>
    <mergeCell ref="J61:J66"/>
    <mergeCell ref="K61:K66"/>
    <mergeCell ref="L61:L66"/>
    <mergeCell ref="M61:M66"/>
    <mergeCell ref="A55:A60"/>
    <mergeCell ref="D55:D60"/>
    <mergeCell ref="E55:E60"/>
    <mergeCell ref="G55:G60"/>
    <mergeCell ref="I55:I60"/>
    <mergeCell ref="J55:J60"/>
    <mergeCell ref="K55:K60"/>
    <mergeCell ref="A1:AL2"/>
    <mergeCell ref="A4:I4"/>
    <mergeCell ref="J4:P4"/>
    <mergeCell ref="Q4:Y4"/>
    <mergeCell ref="Z4:AF4"/>
    <mergeCell ref="AG4:AL4"/>
    <mergeCell ref="O55:O60"/>
    <mergeCell ref="P55:P60"/>
    <mergeCell ref="C19:C24"/>
    <mergeCell ref="B19:B24"/>
    <mergeCell ref="B25:B30"/>
    <mergeCell ref="C25:C30"/>
    <mergeCell ref="A49:A54"/>
    <mergeCell ref="D49:D54"/>
    <mergeCell ref="E49:E54"/>
    <mergeCell ref="A43:A48"/>
    <mergeCell ref="D43:D48"/>
    <mergeCell ref="E43:E48"/>
    <mergeCell ref="O43:O48"/>
    <mergeCell ref="P43:P48"/>
    <mergeCell ref="G49:G54"/>
    <mergeCell ref="I49:I54"/>
    <mergeCell ref="J49:J54"/>
    <mergeCell ref="K49:K54"/>
    <mergeCell ref="L49:L54"/>
    <mergeCell ref="G43:G48"/>
    <mergeCell ref="I43:I48"/>
    <mergeCell ref="J43:J48"/>
    <mergeCell ref="K43:K48"/>
    <mergeCell ref="M49:M54"/>
    <mergeCell ref="N49:N54"/>
    <mergeCell ref="O49:O54"/>
    <mergeCell ref="P49:P54"/>
    <mergeCell ref="L43:L48"/>
    <mergeCell ref="M43:M48"/>
    <mergeCell ref="N43:N48"/>
    <mergeCell ref="A37:A42"/>
    <mergeCell ref="D37:D42"/>
    <mergeCell ref="E37:E42"/>
    <mergeCell ref="G37:G42"/>
    <mergeCell ref="D31:D36"/>
    <mergeCell ref="E31:E36"/>
    <mergeCell ref="L37:L42"/>
    <mergeCell ref="M37:M42"/>
    <mergeCell ref="G31:G36"/>
    <mergeCell ref="I31:I36"/>
    <mergeCell ref="J31:J36"/>
    <mergeCell ref="L31:L36"/>
    <mergeCell ref="I37:I42"/>
    <mergeCell ref="J37:J42"/>
    <mergeCell ref="K37:K42"/>
    <mergeCell ref="M31:M36"/>
    <mergeCell ref="N13:N18"/>
    <mergeCell ref="O13:O18"/>
    <mergeCell ref="P13:P18"/>
    <mergeCell ref="A19:A24"/>
    <mergeCell ref="D19:D24"/>
    <mergeCell ref="E19:E24"/>
    <mergeCell ref="G19:G24"/>
    <mergeCell ref="I19:I24"/>
    <mergeCell ref="J19:J24"/>
    <mergeCell ref="K19:K24"/>
    <mergeCell ref="L19:L24"/>
    <mergeCell ref="M19:M24"/>
    <mergeCell ref="N19:N24"/>
    <mergeCell ref="G13:G18"/>
    <mergeCell ref="I13:I18"/>
    <mergeCell ref="J13:J18"/>
    <mergeCell ref="K13:K18"/>
    <mergeCell ref="L13:L18"/>
    <mergeCell ref="A13:A18"/>
    <mergeCell ref="O19:O24"/>
    <mergeCell ref="P19:P24"/>
    <mergeCell ref="AG5:AG6"/>
    <mergeCell ref="AL5:AL6"/>
    <mergeCell ref="AK5:AK6"/>
    <mergeCell ref="AJ5:AJ6"/>
    <mergeCell ref="AI5:AI6"/>
    <mergeCell ref="AH5:AH6"/>
    <mergeCell ref="A5:A6"/>
    <mergeCell ref="G5:G6"/>
    <mergeCell ref="E5:E6"/>
    <mergeCell ref="D5:D6"/>
    <mergeCell ref="AF5:AF6"/>
    <mergeCell ref="Q5:Q6"/>
    <mergeCell ref="AE5:AE6"/>
    <mergeCell ref="AD5:AD6"/>
    <mergeCell ref="Z5:Z6"/>
    <mergeCell ref="R5:R6"/>
    <mergeCell ref="I5:I6"/>
    <mergeCell ref="J5:J6"/>
    <mergeCell ref="K5:K6"/>
    <mergeCell ref="N5:N6"/>
    <mergeCell ref="O5:O6"/>
    <mergeCell ref="P5:P6"/>
    <mergeCell ref="L5:L6"/>
    <mergeCell ref="M5:M6"/>
    <mergeCell ref="P7:P12"/>
    <mergeCell ref="K7:K12"/>
    <mergeCell ref="L7:L12"/>
    <mergeCell ref="M7:M12"/>
    <mergeCell ref="N7:N12"/>
    <mergeCell ref="O7:O12"/>
    <mergeCell ref="AC5:AC6"/>
    <mergeCell ref="AA5:AA6"/>
    <mergeCell ref="AB5:AB6"/>
    <mergeCell ref="S5:S6"/>
    <mergeCell ref="T5:Y5"/>
    <mergeCell ref="G7:G12"/>
    <mergeCell ref="I7:I12"/>
    <mergeCell ref="J7:J12"/>
    <mergeCell ref="A7:A12"/>
    <mergeCell ref="D7:D12"/>
    <mergeCell ref="E7:E12"/>
    <mergeCell ref="D13:D18"/>
    <mergeCell ref="E13:E18"/>
    <mergeCell ref="K31:K36"/>
    <mergeCell ref="C7:C12"/>
    <mergeCell ref="B7:B12"/>
    <mergeCell ref="C13:C18"/>
    <mergeCell ref="B13:B18"/>
    <mergeCell ref="A25:A30"/>
    <mergeCell ref="D25:D30"/>
    <mergeCell ref="E25:E30"/>
    <mergeCell ref="G25:G30"/>
    <mergeCell ref="I25:I30"/>
    <mergeCell ref="J25:J30"/>
    <mergeCell ref="K25:K30"/>
    <mergeCell ref="A31:A36"/>
    <mergeCell ref="L67:L72"/>
    <mergeCell ref="M67:M72"/>
    <mergeCell ref="N67:N72"/>
    <mergeCell ref="O67:O72"/>
    <mergeCell ref="P67:P72"/>
    <mergeCell ref="A73:A78"/>
    <mergeCell ref="D73:D78"/>
    <mergeCell ref="E73:E78"/>
    <mergeCell ref="G73:G78"/>
    <mergeCell ref="I73:I78"/>
    <mergeCell ref="J73:J78"/>
    <mergeCell ref="K73:K78"/>
    <mergeCell ref="L73:L78"/>
    <mergeCell ref="M73:M78"/>
    <mergeCell ref="N73:N78"/>
    <mergeCell ref="O73:O78"/>
    <mergeCell ref="P73:P78"/>
    <mergeCell ref="A67:A72"/>
    <mergeCell ref="D67:D72"/>
    <mergeCell ref="E67:E72"/>
    <mergeCell ref="G67:G72"/>
    <mergeCell ref="I67:I72"/>
    <mergeCell ref="J67:J72"/>
    <mergeCell ref="K67:K72"/>
    <mergeCell ref="A85:A90"/>
    <mergeCell ref="D85:D90"/>
    <mergeCell ref="E85:E90"/>
    <mergeCell ref="G85:G90"/>
    <mergeCell ref="I85:I90"/>
    <mergeCell ref="J85:J90"/>
    <mergeCell ref="K85:K90"/>
    <mergeCell ref="A79:A84"/>
    <mergeCell ref="D79:D84"/>
    <mergeCell ref="E79:E84"/>
    <mergeCell ref="G79:G84"/>
    <mergeCell ref="I79:I84"/>
    <mergeCell ref="J79:J84"/>
    <mergeCell ref="K79:K84"/>
    <mergeCell ref="O79:O84"/>
    <mergeCell ref="P79:P84"/>
    <mergeCell ref="L85:L90"/>
    <mergeCell ref="M85:M90"/>
    <mergeCell ref="N85:N90"/>
    <mergeCell ref="O85:O90"/>
    <mergeCell ref="P85:P90"/>
    <mergeCell ref="M91:M96"/>
    <mergeCell ref="N91:N96"/>
    <mergeCell ref="O91:O96"/>
    <mergeCell ref="P91:P96"/>
    <mergeCell ref="K97:K102"/>
    <mergeCell ref="G91:G96"/>
    <mergeCell ref="I91:I96"/>
    <mergeCell ref="J91:J96"/>
    <mergeCell ref="K91:K96"/>
    <mergeCell ref="L91:L96"/>
    <mergeCell ref="L79:L84"/>
    <mergeCell ref="M79:M84"/>
    <mergeCell ref="N79:N84"/>
    <mergeCell ref="A91:A96"/>
    <mergeCell ref="D91:D96"/>
    <mergeCell ref="E91:E96"/>
    <mergeCell ref="A97:A102"/>
    <mergeCell ref="D97:D102"/>
    <mergeCell ref="E97:E102"/>
    <mergeCell ref="G97:G102"/>
    <mergeCell ref="I97:I102"/>
    <mergeCell ref="J97:J102"/>
    <mergeCell ref="A115:A120"/>
    <mergeCell ref="D115:D120"/>
    <mergeCell ref="E115:E120"/>
    <mergeCell ref="G115:G120"/>
    <mergeCell ref="I115:I120"/>
    <mergeCell ref="J115:J120"/>
    <mergeCell ref="K115:K120"/>
    <mergeCell ref="L103:L108"/>
    <mergeCell ref="M103:M108"/>
    <mergeCell ref="A109:A114"/>
    <mergeCell ref="D109:D114"/>
    <mergeCell ref="E109:E114"/>
    <mergeCell ref="G109:G114"/>
    <mergeCell ref="I109:I114"/>
    <mergeCell ref="J109:J114"/>
    <mergeCell ref="K109:K114"/>
    <mergeCell ref="L109:L114"/>
    <mergeCell ref="M109:M114"/>
    <mergeCell ref="A103:A108"/>
    <mergeCell ref="D103:D108"/>
    <mergeCell ref="E103:E108"/>
    <mergeCell ref="G103:G108"/>
    <mergeCell ref="I103:I108"/>
    <mergeCell ref="J103:J108"/>
    <mergeCell ref="A121:A126"/>
    <mergeCell ref="D121:D126"/>
    <mergeCell ref="E121:E126"/>
    <mergeCell ref="G121:G126"/>
    <mergeCell ref="I121:I126"/>
    <mergeCell ref="J121:J126"/>
    <mergeCell ref="K121:K126"/>
    <mergeCell ref="L121:L126"/>
    <mergeCell ref="M121:M126"/>
    <mergeCell ref="H5:H6"/>
    <mergeCell ref="F7:F12"/>
    <mergeCell ref="H7:H12"/>
    <mergeCell ref="D128:AL128"/>
    <mergeCell ref="L115:L120"/>
    <mergeCell ref="M115:M120"/>
    <mergeCell ref="N115:N120"/>
    <mergeCell ref="O115:O120"/>
    <mergeCell ref="P115:P120"/>
    <mergeCell ref="N121:N126"/>
    <mergeCell ref="O121:O126"/>
    <mergeCell ref="P121:P126"/>
    <mergeCell ref="N103:N108"/>
    <mergeCell ref="O103:O108"/>
    <mergeCell ref="P103:P108"/>
    <mergeCell ref="N109:N114"/>
    <mergeCell ref="O109:O114"/>
    <mergeCell ref="P109:P114"/>
    <mergeCell ref="K103:K108"/>
    <mergeCell ref="L97:L102"/>
    <mergeCell ref="M97:M102"/>
    <mergeCell ref="N97:N102"/>
    <mergeCell ref="O97:O102"/>
    <mergeCell ref="P97:P102"/>
  </mergeCells>
  <phoneticPr fontId="62" type="noConversion"/>
  <conditionalFormatting sqref="J13">
    <cfRule type="cellIs" dxfId="470" priority="555" operator="equal">
      <formula>"Muy Alta"</formula>
    </cfRule>
    <cfRule type="cellIs" dxfId="469" priority="556" operator="equal">
      <formula>"Alta"</formula>
    </cfRule>
    <cfRule type="cellIs" dxfId="468" priority="557" operator="equal">
      <formula>"Media"</formula>
    </cfRule>
    <cfRule type="cellIs" dxfId="467" priority="558" operator="equal">
      <formula>"Baja"</formula>
    </cfRule>
    <cfRule type="cellIs" dxfId="466" priority="559" operator="equal">
      <formula>"Muy Baja"</formula>
    </cfRule>
  </conditionalFormatting>
  <conditionalFormatting sqref="N7 N13 N19 N25 N31 N37 N43 N49 N55 N61">
    <cfRule type="cellIs" dxfId="465" priority="550" operator="equal">
      <formula>"Catastrófico"</formula>
    </cfRule>
    <cfRule type="cellIs" dxfId="464" priority="551" operator="equal">
      <formula>"Mayor"</formula>
    </cfRule>
    <cfRule type="cellIs" dxfId="463" priority="552" operator="equal">
      <formula>"Moderado"</formula>
    </cfRule>
    <cfRule type="cellIs" dxfId="462" priority="553" operator="equal">
      <formula>"Menor"</formula>
    </cfRule>
    <cfRule type="cellIs" dxfId="461" priority="554" operator="equal">
      <formula>"Leve"</formula>
    </cfRule>
  </conditionalFormatting>
  <conditionalFormatting sqref="P7">
    <cfRule type="cellIs" dxfId="460" priority="546" operator="equal">
      <formula>"Extremo"</formula>
    </cfRule>
    <cfRule type="cellIs" dxfId="459" priority="547" operator="equal">
      <formula>"Alto"</formula>
    </cfRule>
    <cfRule type="cellIs" dxfId="458" priority="548" operator="equal">
      <formula>"Moderado"</formula>
    </cfRule>
    <cfRule type="cellIs" dxfId="457" priority="549" operator="equal">
      <formula>"Bajo"</formula>
    </cfRule>
  </conditionalFormatting>
  <conditionalFormatting sqref="AA7:AA12">
    <cfRule type="cellIs" dxfId="456" priority="541" operator="equal">
      <formula>"Muy Alta"</formula>
    </cfRule>
    <cfRule type="cellIs" dxfId="455" priority="542" operator="equal">
      <formula>"Alta"</formula>
    </cfRule>
    <cfRule type="cellIs" dxfId="454" priority="543" operator="equal">
      <formula>"Media"</formula>
    </cfRule>
    <cfRule type="cellIs" dxfId="453" priority="544" operator="equal">
      <formula>"Baja"</formula>
    </cfRule>
    <cfRule type="cellIs" dxfId="452" priority="545" operator="equal">
      <formula>"Muy Baja"</formula>
    </cfRule>
  </conditionalFormatting>
  <conditionalFormatting sqref="AC7:AC12">
    <cfRule type="cellIs" dxfId="451" priority="536" operator="equal">
      <formula>"Catastrófico"</formula>
    </cfRule>
    <cfRule type="cellIs" dxfId="450" priority="537" operator="equal">
      <formula>"Mayor"</formula>
    </cfRule>
    <cfRule type="cellIs" dxfId="449" priority="538" operator="equal">
      <formula>"Moderado"</formula>
    </cfRule>
    <cfRule type="cellIs" dxfId="448" priority="539" operator="equal">
      <formula>"Menor"</formula>
    </cfRule>
    <cfRule type="cellIs" dxfId="447" priority="540" operator="equal">
      <formula>"Leve"</formula>
    </cfRule>
  </conditionalFormatting>
  <conditionalFormatting sqref="AE7:AE12">
    <cfRule type="cellIs" dxfId="446" priority="532" operator="equal">
      <formula>"Extremo"</formula>
    </cfRule>
    <cfRule type="cellIs" dxfId="445" priority="533" operator="equal">
      <formula>"Alto"</formula>
    </cfRule>
    <cfRule type="cellIs" dxfId="444" priority="534" operator="equal">
      <formula>"Moderado"</formula>
    </cfRule>
    <cfRule type="cellIs" dxfId="443" priority="535" operator="equal">
      <formula>"Bajo"</formula>
    </cfRule>
  </conditionalFormatting>
  <conditionalFormatting sqref="J55">
    <cfRule type="cellIs" dxfId="442" priority="289" operator="equal">
      <formula>"Muy Alta"</formula>
    </cfRule>
    <cfRule type="cellIs" dxfId="441" priority="290" operator="equal">
      <formula>"Alta"</formula>
    </cfRule>
    <cfRule type="cellIs" dxfId="440" priority="291" operator="equal">
      <formula>"Media"</formula>
    </cfRule>
    <cfRule type="cellIs" dxfId="439" priority="292" operator="equal">
      <formula>"Baja"</formula>
    </cfRule>
    <cfRule type="cellIs" dxfId="438" priority="293" operator="equal">
      <formula>"Muy Baja"</formula>
    </cfRule>
  </conditionalFormatting>
  <conditionalFormatting sqref="P13">
    <cfRule type="cellIs" dxfId="437" priority="476" operator="equal">
      <formula>"Extremo"</formula>
    </cfRule>
    <cfRule type="cellIs" dxfId="436" priority="477" operator="equal">
      <formula>"Alto"</formula>
    </cfRule>
    <cfRule type="cellIs" dxfId="435" priority="478" operator="equal">
      <formula>"Moderado"</formula>
    </cfRule>
    <cfRule type="cellIs" dxfId="434" priority="479" operator="equal">
      <formula>"Bajo"</formula>
    </cfRule>
  </conditionalFormatting>
  <conditionalFormatting sqref="AA13:AA18">
    <cfRule type="cellIs" dxfId="433" priority="471" operator="equal">
      <formula>"Muy Alta"</formula>
    </cfRule>
    <cfRule type="cellIs" dxfId="432" priority="472" operator="equal">
      <formula>"Alta"</formula>
    </cfRule>
    <cfRule type="cellIs" dxfId="431" priority="473" operator="equal">
      <formula>"Media"</formula>
    </cfRule>
    <cfRule type="cellIs" dxfId="430" priority="474" operator="equal">
      <formula>"Baja"</formula>
    </cfRule>
    <cfRule type="cellIs" dxfId="429" priority="475" operator="equal">
      <formula>"Muy Baja"</formula>
    </cfRule>
  </conditionalFormatting>
  <conditionalFormatting sqref="AC13:AC18">
    <cfRule type="cellIs" dxfId="428" priority="466" operator="equal">
      <formula>"Catastrófico"</formula>
    </cfRule>
    <cfRule type="cellIs" dxfId="427" priority="467" operator="equal">
      <formula>"Mayor"</formula>
    </cfRule>
    <cfRule type="cellIs" dxfId="426" priority="468" operator="equal">
      <formula>"Moderado"</formula>
    </cfRule>
    <cfRule type="cellIs" dxfId="425" priority="469" operator="equal">
      <formula>"Menor"</formula>
    </cfRule>
    <cfRule type="cellIs" dxfId="424" priority="470" operator="equal">
      <formula>"Leve"</formula>
    </cfRule>
  </conditionalFormatting>
  <conditionalFormatting sqref="AE13:AE18">
    <cfRule type="cellIs" dxfId="423" priority="462" operator="equal">
      <formula>"Extremo"</formula>
    </cfRule>
    <cfRule type="cellIs" dxfId="422" priority="463" operator="equal">
      <formula>"Alto"</formula>
    </cfRule>
    <cfRule type="cellIs" dxfId="421" priority="464" operator="equal">
      <formula>"Moderado"</formula>
    </cfRule>
    <cfRule type="cellIs" dxfId="420" priority="465" operator="equal">
      <formula>"Bajo"</formula>
    </cfRule>
  </conditionalFormatting>
  <conditionalFormatting sqref="J19">
    <cfRule type="cellIs" dxfId="419" priority="457" operator="equal">
      <formula>"Muy Alta"</formula>
    </cfRule>
    <cfRule type="cellIs" dxfId="418" priority="458" operator="equal">
      <formula>"Alta"</formula>
    </cfRule>
    <cfRule type="cellIs" dxfId="417" priority="459" operator="equal">
      <formula>"Media"</formula>
    </cfRule>
    <cfRule type="cellIs" dxfId="416" priority="460" operator="equal">
      <formula>"Baja"</formula>
    </cfRule>
    <cfRule type="cellIs" dxfId="415" priority="461" operator="equal">
      <formula>"Muy Baja"</formula>
    </cfRule>
  </conditionalFormatting>
  <conditionalFormatting sqref="P19">
    <cfRule type="cellIs" dxfId="414" priority="448" operator="equal">
      <formula>"Extremo"</formula>
    </cfRule>
    <cfRule type="cellIs" dxfId="413" priority="449" operator="equal">
      <formula>"Alto"</formula>
    </cfRule>
    <cfRule type="cellIs" dxfId="412" priority="450" operator="equal">
      <formula>"Moderado"</formula>
    </cfRule>
    <cfRule type="cellIs" dxfId="411" priority="451" operator="equal">
      <formula>"Bajo"</formula>
    </cfRule>
  </conditionalFormatting>
  <conditionalFormatting sqref="AA19:AA24">
    <cfRule type="cellIs" dxfId="410" priority="443" operator="equal">
      <formula>"Muy Alta"</formula>
    </cfRule>
    <cfRule type="cellIs" dxfId="409" priority="444" operator="equal">
      <formula>"Alta"</formula>
    </cfRule>
    <cfRule type="cellIs" dxfId="408" priority="445" operator="equal">
      <formula>"Media"</formula>
    </cfRule>
    <cfRule type="cellIs" dxfId="407" priority="446" operator="equal">
      <formula>"Baja"</formula>
    </cfRule>
    <cfRule type="cellIs" dxfId="406" priority="447" operator="equal">
      <formula>"Muy Baja"</formula>
    </cfRule>
  </conditionalFormatting>
  <conditionalFormatting sqref="AC19:AC24">
    <cfRule type="cellIs" dxfId="405" priority="438" operator="equal">
      <formula>"Catastrófico"</formula>
    </cfRule>
    <cfRule type="cellIs" dxfId="404" priority="439" operator="equal">
      <formula>"Mayor"</formula>
    </cfRule>
    <cfRule type="cellIs" dxfId="403" priority="440" operator="equal">
      <formula>"Moderado"</formula>
    </cfRule>
    <cfRule type="cellIs" dxfId="402" priority="441" operator="equal">
      <formula>"Menor"</formula>
    </cfRule>
    <cfRule type="cellIs" dxfId="401" priority="442" operator="equal">
      <formula>"Leve"</formula>
    </cfRule>
  </conditionalFormatting>
  <conditionalFormatting sqref="AE19:AE24">
    <cfRule type="cellIs" dxfId="400" priority="434" operator="equal">
      <formula>"Extremo"</formula>
    </cfRule>
    <cfRule type="cellIs" dxfId="399" priority="435" operator="equal">
      <formula>"Alto"</formula>
    </cfRule>
    <cfRule type="cellIs" dxfId="398" priority="436" operator="equal">
      <formula>"Moderado"</formula>
    </cfRule>
    <cfRule type="cellIs" dxfId="397" priority="437" operator="equal">
      <formula>"Bajo"</formula>
    </cfRule>
  </conditionalFormatting>
  <conditionalFormatting sqref="J25">
    <cfRule type="cellIs" dxfId="396" priority="429" operator="equal">
      <formula>"Muy Alta"</formula>
    </cfRule>
    <cfRule type="cellIs" dxfId="395" priority="430" operator="equal">
      <formula>"Alta"</formula>
    </cfRule>
    <cfRule type="cellIs" dxfId="394" priority="431" operator="equal">
      <formula>"Media"</formula>
    </cfRule>
    <cfRule type="cellIs" dxfId="393" priority="432" operator="equal">
      <formula>"Baja"</formula>
    </cfRule>
    <cfRule type="cellIs" dxfId="392" priority="433" operator="equal">
      <formula>"Muy Baja"</formula>
    </cfRule>
  </conditionalFormatting>
  <conditionalFormatting sqref="P25">
    <cfRule type="cellIs" dxfId="391" priority="420" operator="equal">
      <formula>"Extremo"</formula>
    </cfRule>
    <cfRule type="cellIs" dxfId="390" priority="421" operator="equal">
      <formula>"Alto"</formula>
    </cfRule>
    <cfRule type="cellIs" dxfId="389" priority="422" operator="equal">
      <formula>"Moderado"</formula>
    </cfRule>
    <cfRule type="cellIs" dxfId="388" priority="423" operator="equal">
      <formula>"Bajo"</formula>
    </cfRule>
  </conditionalFormatting>
  <conditionalFormatting sqref="AA25:AA30">
    <cfRule type="cellIs" dxfId="387" priority="415" operator="equal">
      <formula>"Muy Alta"</formula>
    </cfRule>
    <cfRule type="cellIs" dxfId="386" priority="416" operator="equal">
      <formula>"Alta"</formula>
    </cfRule>
    <cfRule type="cellIs" dxfId="385" priority="417" operator="equal">
      <formula>"Media"</formula>
    </cfRule>
    <cfRule type="cellIs" dxfId="384" priority="418" operator="equal">
      <formula>"Baja"</formula>
    </cfRule>
    <cfRule type="cellIs" dxfId="383" priority="419" operator="equal">
      <formula>"Muy Baja"</formula>
    </cfRule>
  </conditionalFormatting>
  <conditionalFormatting sqref="AC25:AC30">
    <cfRule type="cellIs" dxfId="382" priority="410" operator="equal">
      <formula>"Catastrófico"</formula>
    </cfRule>
    <cfRule type="cellIs" dxfId="381" priority="411" operator="equal">
      <formula>"Mayor"</formula>
    </cfRule>
    <cfRule type="cellIs" dxfId="380" priority="412" operator="equal">
      <formula>"Moderado"</formula>
    </cfRule>
    <cfRule type="cellIs" dxfId="379" priority="413" operator="equal">
      <formula>"Menor"</formula>
    </cfRule>
    <cfRule type="cellIs" dxfId="378" priority="414" operator="equal">
      <formula>"Leve"</formula>
    </cfRule>
  </conditionalFormatting>
  <conditionalFormatting sqref="AE25:AE30">
    <cfRule type="cellIs" dxfId="377" priority="406" operator="equal">
      <formula>"Extremo"</formula>
    </cfRule>
    <cfRule type="cellIs" dxfId="376" priority="407" operator="equal">
      <formula>"Alto"</formula>
    </cfRule>
    <cfRule type="cellIs" dxfId="375" priority="408" operator="equal">
      <formula>"Moderado"</formula>
    </cfRule>
    <cfRule type="cellIs" dxfId="374" priority="409" operator="equal">
      <formula>"Bajo"</formula>
    </cfRule>
  </conditionalFormatting>
  <conditionalFormatting sqref="J31">
    <cfRule type="cellIs" dxfId="373" priority="401" operator="equal">
      <formula>"Muy Alta"</formula>
    </cfRule>
    <cfRule type="cellIs" dxfId="372" priority="402" operator="equal">
      <formula>"Alta"</formula>
    </cfRule>
    <cfRule type="cellIs" dxfId="371" priority="403" operator="equal">
      <formula>"Media"</formula>
    </cfRule>
    <cfRule type="cellIs" dxfId="370" priority="404" operator="equal">
      <formula>"Baja"</formula>
    </cfRule>
    <cfRule type="cellIs" dxfId="369" priority="405" operator="equal">
      <formula>"Muy Baja"</formula>
    </cfRule>
  </conditionalFormatting>
  <conditionalFormatting sqref="P31">
    <cfRule type="cellIs" dxfId="368" priority="392" operator="equal">
      <formula>"Extremo"</formula>
    </cfRule>
    <cfRule type="cellIs" dxfId="367" priority="393" operator="equal">
      <formula>"Alto"</formula>
    </cfRule>
    <cfRule type="cellIs" dxfId="366" priority="394" operator="equal">
      <formula>"Moderado"</formula>
    </cfRule>
    <cfRule type="cellIs" dxfId="365" priority="395" operator="equal">
      <formula>"Bajo"</formula>
    </cfRule>
  </conditionalFormatting>
  <conditionalFormatting sqref="AA31:AA36">
    <cfRule type="cellIs" dxfId="364" priority="387" operator="equal">
      <formula>"Muy Alta"</formula>
    </cfRule>
    <cfRule type="cellIs" dxfId="363" priority="388" operator="equal">
      <formula>"Alta"</formula>
    </cfRule>
    <cfRule type="cellIs" dxfId="362" priority="389" operator="equal">
      <formula>"Media"</formula>
    </cfRule>
    <cfRule type="cellIs" dxfId="361" priority="390" operator="equal">
      <formula>"Baja"</formula>
    </cfRule>
    <cfRule type="cellIs" dxfId="360" priority="391" operator="equal">
      <formula>"Muy Baja"</formula>
    </cfRule>
  </conditionalFormatting>
  <conditionalFormatting sqref="AC31:AC36">
    <cfRule type="cellIs" dxfId="359" priority="382" operator="equal">
      <formula>"Catastrófico"</formula>
    </cfRule>
    <cfRule type="cellIs" dxfId="358" priority="383" operator="equal">
      <formula>"Mayor"</formula>
    </cfRule>
    <cfRule type="cellIs" dxfId="357" priority="384" operator="equal">
      <formula>"Moderado"</formula>
    </cfRule>
    <cfRule type="cellIs" dxfId="356" priority="385" operator="equal">
      <formula>"Menor"</formula>
    </cfRule>
    <cfRule type="cellIs" dxfId="355" priority="386" operator="equal">
      <formula>"Leve"</formula>
    </cfRule>
  </conditionalFormatting>
  <conditionalFormatting sqref="AE31:AE36">
    <cfRule type="cellIs" dxfId="354" priority="378" operator="equal">
      <formula>"Extremo"</formula>
    </cfRule>
    <cfRule type="cellIs" dxfId="353" priority="379" operator="equal">
      <formula>"Alto"</formula>
    </cfRule>
    <cfRule type="cellIs" dxfId="352" priority="380" operator="equal">
      <formula>"Moderado"</formula>
    </cfRule>
    <cfRule type="cellIs" dxfId="351" priority="381" operator="equal">
      <formula>"Bajo"</formula>
    </cfRule>
  </conditionalFormatting>
  <conditionalFormatting sqref="J37">
    <cfRule type="cellIs" dxfId="350" priority="373" operator="equal">
      <formula>"Muy Alta"</formula>
    </cfRule>
    <cfRule type="cellIs" dxfId="349" priority="374" operator="equal">
      <formula>"Alta"</formula>
    </cfRule>
    <cfRule type="cellIs" dxfId="348" priority="375" operator="equal">
      <formula>"Media"</formula>
    </cfRule>
    <cfRule type="cellIs" dxfId="347" priority="376" operator="equal">
      <formula>"Baja"</formula>
    </cfRule>
    <cfRule type="cellIs" dxfId="346" priority="377" operator="equal">
      <formula>"Muy Baja"</formula>
    </cfRule>
  </conditionalFormatting>
  <conditionalFormatting sqref="P37">
    <cfRule type="cellIs" dxfId="345" priority="364" operator="equal">
      <formula>"Extremo"</formula>
    </cfRule>
    <cfRule type="cellIs" dxfId="344" priority="365" operator="equal">
      <formula>"Alto"</formula>
    </cfRule>
    <cfRule type="cellIs" dxfId="343" priority="366" operator="equal">
      <formula>"Moderado"</formula>
    </cfRule>
    <cfRule type="cellIs" dxfId="342" priority="367" operator="equal">
      <formula>"Bajo"</formula>
    </cfRule>
  </conditionalFormatting>
  <conditionalFormatting sqref="AA37:AA42">
    <cfRule type="cellIs" dxfId="341" priority="359" operator="equal">
      <formula>"Muy Alta"</formula>
    </cfRule>
    <cfRule type="cellIs" dxfId="340" priority="360" operator="equal">
      <formula>"Alta"</formula>
    </cfRule>
    <cfRule type="cellIs" dxfId="339" priority="361" operator="equal">
      <formula>"Media"</formula>
    </cfRule>
    <cfRule type="cellIs" dxfId="338" priority="362" operator="equal">
      <formula>"Baja"</formula>
    </cfRule>
    <cfRule type="cellIs" dxfId="337" priority="363" operator="equal">
      <formula>"Muy Baja"</formula>
    </cfRule>
  </conditionalFormatting>
  <conditionalFormatting sqref="AC37:AC42">
    <cfRule type="cellIs" dxfId="336" priority="354" operator="equal">
      <formula>"Catastrófico"</formula>
    </cfRule>
    <cfRule type="cellIs" dxfId="335" priority="355" operator="equal">
      <formula>"Mayor"</formula>
    </cfRule>
    <cfRule type="cellIs" dxfId="334" priority="356" operator="equal">
      <formula>"Moderado"</formula>
    </cfRule>
    <cfRule type="cellIs" dxfId="333" priority="357" operator="equal">
      <formula>"Menor"</formula>
    </cfRule>
    <cfRule type="cellIs" dxfId="332" priority="358" operator="equal">
      <formula>"Leve"</formula>
    </cfRule>
  </conditionalFormatting>
  <conditionalFormatting sqref="AE37:AE42">
    <cfRule type="cellIs" dxfId="331" priority="350" operator="equal">
      <formula>"Extremo"</formula>
    </cfRule>
    <cfRule type="cellIs" dxfId="330" priority="351" operator="equal">
      <formula>"Alto"</formula>
    </cfRule>
    <cfRule type="cellIs" dxfId="329" priority="352" operator="equal">
      <formula>"Moderado"</formula>
    </cfRule>
    <cfRule type="cellIs" dxfId="328" priority="353" operator="equal">
      <formula>"Bajo"</formula>
    </cfRule>
  </conditionalFormatting>
  <conditionalFormatting sqref="J43">
    <cfRule type="cellIs" dxfId="327" priority="345" operator="equal">
      <formula>"Muy Alta"</formula>
    </cfRule>
    <cfRule type="cellIs" dxfId="326" priority="346" operator="equal">
      <formula>"Alta"</formula>
    </cfRule>
    <cfRule type="cellIs" dxfId="325" priority="347" operator="equal">
      <formula>"Media"</formula>
    </cfRule>
    <cfRule type="cellIs" dxfId="324" priority="348" operator="equal">
      <formula>"Baja"</formula>
    </cfRule>
    <cfRule type="cellIs" dxfId="323" priority="349" operator="equal">
      <formula>"Muy Baja"</formula>
    </cfRule>
  </conditionalFormatting>
  <conditionalFormatting sqref="P43">
    <cfRule type="cellIs" dxfId="322" priority="336" operator="equal">
      <formula>"Extremo"</formula>
    </cfRule>
    <cfRule type="cellIs" dxfId="321" priority="337" operator="equal">
      <formula>"Alto"</formula>
    </cfRule>
    <cfRule type="cellIs" dxfId="320" priority="338" operator="equal">
      <formula>"Moderado"</formula>
    </cfRule>
    <cfRule type="cellIs" dxfId="319" priority="339" operator="equal">
      <formula>"Bajo"</formula>
    </cfRule>
  </conditionalFormatting>
  <conditionalFormatting sqref="AA43:AA48">
    <cfRule type="cellIs" dxfId="318" priority="331" operator="equal">
      <formula>"Muy Alta"</formula>
    </cfRule>
    <cfRule type="cellIs" dxfId="317" priority="332" operator="equal">
      <formula>"Alta"</formula>
    </cfRule>
    <cfRule type="cellIs" dxfId="316" priority="333" operator="equal">
      <formula>"Media"</formula>
    </cfRule>
    <cfRule type="cellIs" dxfId="315" priority="334" operator="equal">
      <formula>"Baja"</formula>
    </cfRule>
    <cfRule type="cellIs" dxfId="314" priority="335" operator="equal">
      <formula>"Muy Baja"</formula>
    </cfRule>
  </conditionalFormatting>
  <conditionalFormatting sqref="AC43:AC48">
    <cfRule type="cellIs" dxfId="313" priority="326" operator="equal">
      <formula>"Catastrófico"</formula>
    </cfRule>
    <cfRule type="cellIs" dxfId="312" priority="327" operator="equal">
      <formula>"Mayor"</formula>
    </cfRule>
    <cfRule type="cellIs" dxfId="311" priority="328" operator="equal">
      <formula>"Moderado"</formula>
    </cfRule>
    <cfRule type="cellIs" dxfId="310" priority="329" operator="equal">
      <formula>"Menor"</formula>
    </cfRule>
    <cfRule type="cellIs" dxfId="309" priority="330" operator="equal">
      <formula>"Leve"</formula>
    </cfRule>
  </conditionalFormatting>
  <conditionalFormatting sqref="AE43:AE48">
    <cfRule type="cellIs" dxfId="308" priority="322" operator="equal">
      <formula>"Extremo"</formula>
    </cfRule>
    <cfRule type="cellIs" dxfId="307" priority="323" operator="equal">
      <formula>"Alto"</formula>
    </cfRule>
    <cfRule type="cellIs" dxfId="306" priority="324" operator="equal">
      <formula>"Moderado"</formula>
    </cfRule>
    <cfRule type="cellIs" dxfId="305" priority="325" operator="equal">
      <formula>"Bajo"</formula>
    </cfRule>
  </conditionalFormatting>
  <conditionalFormatting sqref="J49">
    <cfRule type="cellIs" dxfId="304" priority="317" operator="equal">
      <formula>"Muy Alta"</formula>
    </cfRule>
    <cfRule type="cellIs" dxfId="303" priority="318" operator="equal">
      <formula>"Alta"</formula>
    </cfRule>
    <cfRule type="cellIs" dxfId="302" priority="319" operator="equal">
      <formula>"Media"</formula>
    </cfRule>
    <cfRule type="cellIs" dxfId="301" priority="320" operator="equal">
      <formula>"Baja"</formula>
    </cfRule>
    <cfRule type="cellIs" dxfId="300" priority="321" operator="equal">
      <formula>"Muy Baja"</formula>
    </cfRule>
  </conditionalFormatting>
  <conditionalFormatting sqref="P49">
    <cfRule type="cellIs" dxfId="299" priority="308" operator="equal">
      <formula>"Extremo"</formula>
    </cfRule>
    <cfRule type="cellIs" dxfId="298" priority="309" operator="equal">
      <formula>"Alto"</formula>
    </cfRule>
    <cfRule type="cellIs" dxfId="297" priority="310" operator="equal">
      <formula>"Moderado"</formula>
    </cfRule>
    <cfRule type="cellIs" dxfId="296" priority="311" operator="equal">
      <formula>"Bajo"</formula>
    </cfRule>
  </conditionalFormatting>
  <conditionalFormatting sqref="AA49:AA54">
    <cfRule type="cellIs" dxfId="295" priority="303" operator="equal">
      <formula>"Muy Alta"</formula>
    </cfRule>
    <cfRule type="cellIs" dxfId="294" priority="304" operator="equal">
      <formula>"Alta"</formula>
    </cfRule>
    <cfRule type="cellIs" dxfId="293" priority="305" operator="equal">
      <formula>"Media"</formula>
    </cfRule>
    <cfRule type="cellIs" dxfId="292" priority="306" operator="equal">
      <formula>"Baja"</formula>
    </cfRule>
    <cfRule type="cellIs" dxfId="291" priority="307" operator="equal">
      <formula>"Muy Baja"</formula>
    </cfRule>
  </conditionalFormatting>
  <conditionalFormatting sqref="AC49:AC54">
    <cfRule type="cellIs" dxfId="290" priority="298" operator="equal">
      <formula>"Catastrófico"</formula>
    </cfRule>
    <cfRule type="cellIs" dxfId="289" priority="299" operator="equal">
      <formula>"Mayor"</formula>
    </cfRule>
    <cfRule type="cellIs" dxfId="288" priority="300" operator="equal">
      <formula>"Moderado"</formula>
    </cfRule>
    <cfRule type="cellIs" dxfId="287" priority="301" operator="equal">
      <formula>"Menor"</formula>
    </cfRule>
    <cfRule type="cellIs" dxfId="286" priority="302" operator="equal">
      <formula>"Leve"</formula>
    </cfRule>
  </conditionalFormatting>
  <conditionalFormatting sqref="AE49:AE54">
    <cfRule type="cellIs" dxfId="285" priority="294" operator="equal">
      <formula>"Extremo"</formula>
    </cfRule>
    <cfRule type="cellIs" dxfId="284" priority="295" operator="equal">
      <formula>"Alto"</formula>
    </cfRule>
    <cfRule type="cellIs" dxfId="283" priority="296" operator="equal">
      <formula>"Moderado"</formula>
    </cfRule>
    <cfRule type="cellIs" dxfId="282" priority="297" operator="equal">
      <formula>"Bajo"</formula>
    </cfRule>
  </conditionalFormatting>
  <conditionalFormatting sqref="P55">
    <cfRule type="cellIs" dxfId="281" priority="280" operator="equal">
      <formula>"Extremo"</formula>
    </cfRule>
    <cfRule type="cellIs" dxfId="280" priority="281" operator="equal">
      <formula>"Alto"</formula>
    </cfRule>
    <cfRule type="cellIs" dxfId="279" priority="282" operator="equal">
      <formula>"Moderado"</formula>
    </cfRule>
    <cfRule type="cellIs" dxfId="278" priority="283" operator="equal">
      <formula>"Bajo"</formula>
    </cfRule>
  </conditionalFormatting>
  <conditionalFormatting sqref="AA55:AA60">
    <cfRule type="cellIs" dxfId="277" priority="275" operator="equal">
      <formula>"Muy Alta"</formula>
    </cfRule>
    <cfRule type="cellIs" dxfId="276" priority="276" operator="equal">
      <formula>"Alta"</formula>
    </cfRule>
    <cfRule type="cellIs" dxfId="275" priority="277" operator="equal">
      <formula>"Media"</formula>
    </cfRule>
    <cfRule type="cellIs" dxfId="274" priority="278" operator="equal">
      <formula>"Baja"</formula>
    </cfRule>
    <cfRule type="cellIs" dxfId="273" priority="279" operator="equal">
      <formula>"Muy Baja"</formula>
    </cfRule>
  </conditionalFormatting>
  <conditionalFormatting sqref="AC55:AC60">
    <cfRule type="cellIs" dxfId="272" priority="270" operator="equal">
      <formula>"Catastrófico"</formula>
    </cfRule>
    <cfRule type="cellIs" dxfId="271" priority="271" operator="equal">
      <formula>"Mayor"</formula>
    </cfRule>
    <cfRule type="cellIs" dxfId="270" priority="272" operator="equal">
      <formula>"Moderado"</formula>
    </cfRule>
    <cfRule type="cellIs" dxfId="269" priority="273" operator="equal">
      <formula>"Menor"</formula>
    </cfRule>
    <cfRule type="cellIs" dxfId="268" priority="274" operator="equal">
      <formula>"Leve"</formula>
    </cfRule>
  </conditionalFormatting>
  <conditionalFormatting sqref="AE55:AE60">
    <cfRule type="cellIs" dxfId="267" priority="266" operator="equal">
      <formula>"Extremo"</formula>
    </cfRule>
    <cfRule type="cellIs" dxfId="266" priority="267" operator="equal">
      <formula>"Alto"</formula>
    </cfRule>
    <cfRule type="cellIs" dxfId="265" priority="268" operator="equal">
      <formula>"Moderado"</formula>
    </cfRule>
    <cfRule type="cellIs" dxfId="264" priority="269" operator="equal">
      <formula>"Bajo"</formula>
    </cfRule>
  </conditionalFormatting>
  <conditionalFormatting sqref="J61">
    <cfRule type="cellIs" dxfId="263" priority="261" operator="equal">
      <formula>"Muy Alta"</formula>
    </cfRule>
    <cfRule type="cellIs" dxfId="262" priority="262" operator="equal">
      <formula>"Alta"</formula>
    </cfRule>
    <cfRule type="cellIs" dxfId="261" priority="263" operator="equal">
      <formula>"Media"</formula>
    </cfRule>
    <cfRule type="cellIs" dxfId="260" priority="264" operator="equal">
      <formula>"Baja"</formula>
    </cfRule>
    <cfRule type="cellIs" dxfId="259" priority="265" operator="equal">
      <formula>"Muy Baja"</formula>
    </cfRule>
  </conditionalFormatting>
  <conditionalFormatting sqref="P61">
    <cfRule type="cellIs" dxfId="258" priority="252" operator="equal">
      <formula>"Extremo"</formula>
    </cfRule>
    <cfRule type="cellIs" dxfId="257" priority="253" operator="equal">
      <formula>"Alto"</formula>
    </cfRule>
    <cfRule type="cellIs" dxfId="256" priority="254" operator="equal">
      <formula>"Moderado"</formula>
    </cfRule>
    <cfRule type="cellIs" dxfId="255" priority="255" operator="equal">
      <formula>"Bajo"</formula>
    </cfRule>
  </conditionalFormatting>
  <conditionalFormatting sqref="AA61:AA66">
    <cfRule type="cellIs" dxfId="254" priority="247" operator="equal">
      <formula>"Muy Alta"</formula>
    </cfRule>
    <cfRule type="cellIs" dxfId="253" priority="248" operator="equal">
      <formula>"Alta"</formula>
    </cfRule>
    <cfRule type="cellIs" dxfId="252" priority="249" operator="equal">
      <formula>"Media"</formula>
    </cfRule>
    <cfRule type="cellIs" dxfId="251" priority="250" operator="equal">
      <formula>"Baja"</formula>
    </cfRule>
    <cfRule type="cellIs" dxfId="250" priority="251" operator="equal">
      <formula>"Muy Baja"</formula>
    </cfRule>
  </conditionalFormatting>
  <conditionalFormatting sqref="AC61:AC66">
    <cfRule type="cellIs" dxfId="249" priority="242" operator="equal">
      <formula>"Catastrófico"</formula>
    </cfRule>
    <cfRule type="cellIs" dxfId="248" priority="243" operator="equal">
      <formula>"Mayor"</formula>
    </cfRule>
    <cfRule type="cellIs" dxfId="247" priority="244" operator="equal">
      <formula>"Moderado"</formula>
    </cfRule>
    <cfRule type="cellIs" dxfId="246" priority="245" operator="equal">
      <formula>"Menor"</formula>
    </cfRule>
    <cfRule type="cellIs" dxfId="245" priority="246" operator="equal">
      <formula>"Leve"</formula>
    </cfRule>
  </conditionalFormatting>
  <conditionalFormatting sqref="AE61:AE66">
    <cfRule type="cellIs" dxfId="244" priority="238" operator="equal">
      <formula>"Extremo"</formula>
    </cfRule>
    <cfRule type="cellIs" dxfId="243" priority="239" operator="equal">
      <formula>"Alto"</formula>
    </cfRule>
    <cfRule type="cellIs" dxfId="242" priority="240" operator="equal">
      <formula>"Moderado"</formula>
    </cfRule>
    <cfRule type="cellIs" dxfId="241" priority="241" operator="equal">
      <formula>"Bajo"</formula>
    </cfRule>
  </conditionalFormatting>
  <conditionalFormatting sqref="M7:M66">
    <cfRule type="containsText" dxfId="240" priority="237" operator="containsText" text="❌">
      <formula>NOT(ISERROR(SEARCH("❌",M7)))</formula>
    </cfRule>
  </conditionalFormatting>
  <conditionalFormatting sqref="J67 J73">
    <cfRule type="cellIs" dxfId="239" priority="232" operator="equal">
      <formula>"Muy Alta"</formula>
    </cfRule>
    <cfRule type="cellIs" dxfId="238" priority="233" operator="equal">
      <formula>"Alta"</formula>
    </cfRule>
    <cfRule type="cellIs" dxfId="237" priority="234" operator="equal">
      <formula>"Media"</formula>
    </cfRule>
    <cfRule type="cellIs" dxfId="236" priority="235" operator="equal">
      <formula>"Baja"</formula>
    </cfRule>
    <cfRule type="cellIs" dxfId="235" priority="236" operator="equal">
      <formula>"Muy Baja"</formula>
    </cfRule>
  </conditionalFormatting>
  <conditionalFormatting sqref="N67 N73 N79 N85 N91 N97 N103 N109 N115 N121">
    <cfRule type="cellIs" dxfId="234" priority="227" operator="equal">
      <formula>"Catastrófico"</formula>
    </cfRule>
    <cfRule type="cellIs" dxfId="233" priority="228" operator="equal">
      <formula>"Mayor"</formula>
    </cfRule>
    <cfRule type="cellIs" dxfId="232" priority="229" operator="equal">
      <formula>"Moderado"</formula>
    </cfRule>
    <cfRule type="cellIs" dxfId="231" priority="230" operator="equal">
      <formula>"Menor"</formula>
    </cfRule>
    <cfRule type="cellIs" dxfId="230" priority="231" operator="equal">
      <formula>"Leve"</formula>
    </cfRule>
  </conditionalFormatting>
  <conditionalFormatting sqref="P67">
    <cfRule type="cellIs" dxfId="229" priority="223" operator="equal">
      <formula>"Extremo"</formula>
    </cfRule>
    <cfRule type="cellIs" dxfId="228" priority="224" operator="equal">
      <formula>"Alto"</formula>
    </cfRule>
    <cfRule type="cellIs" dxfId="227" priority="225" operator="equal">
      <formula>"Moderado"</formula>
    </cfRule>
    <cfRule type="cellIs" dxfId="226" priority="226" operator="equal">
      <formula>"Bajo"</formula>
    </cfRule>
  </conditionalFormatting>
  <conditionalFormatting sqref="AA67:AA72">
    <cfRule type="cellIs" dxfId="225" priority="218" operator="equal">
      <formula>"Muy Alta"</formula>
    </cfRule>
    <cfRule type="cellIs" dxfId="224" priority="219" operator="equal">
      <formula>"Alta"</formula>
    </cfRule>
    <cfRule type="cellIs" dxfId="223" priority="220" operator="equal">
      <formula>"Media"</formula>
    </cfRule>
    <cfRule type="cellIs" dxfId="222" priority="221" operator="equal">
      <formula>"Baja"</formula>
    </cfRule>
    <cfRule type="cellIs" dxfId="221" priority="222" operator="equal">
      <formula>"Muy Baja"</formula>
    </cfRule>
  </conditionalFormatting>
  <conditionalFormatting sqref="AC67:AC72">
    <cfRule type="cellIs" dxfId="220" priority="213" operator="equal">
      <formula>"Catastrófico"</formula>
    </cfRule>
    <cfRule type="cellIs" dxfId="219" priority="214" operator="equal">
      <formula>"Mayor"</formula>
    </cfRule>
    <cfRule type="cellIs" dxfId="218" priority="215" operator="equal">
      <formula>"Moderado"</formula>
    </cfRule>
    <cfRule type="cellIs" dxfId="217" priority="216" operator="equal">
      <formula>"Menor"</formula>
    </cfRule>
    <cfRule type="cellIs" dxfId="216" priority="217" operator="equal">
      <formula>"Leve"</formula>
    </cfRule>
  </conditionalFormatting>
  <conditionalFormatting sqref="AE67:AE72">
    <cfRule type="cellIs" dxfId="215" priority="209" operator="equal">
      <formula>"Extremo"</formula>
    </cfRule>
    <cfRule type="cellIs" dxfId="214" priority="210" operator="equal">
      <formula>"Alto"</formula>
    </cfRule>
    <cfRule type="cellIs" dxfId="213" priority="211" operator="equal">
      <formula>"Moderado"</formula>
    </cfRule>
    <cfRule type="cellIs" dxfId="212" priority="212" operator="equal">
      <formula>"Bajo"</formula>
    </cfRule>
  </conditionalFormatting>
  <conditionalFormatting sqref="J115">
    <cfRule type="cellIs" dxfId="211" priority="48" operator="equal">
      <formula>"Muy Alta"</formula>
    </cfRule>
    <cfRule type="cellIs" dxfId="210" priority="49" operator="equal">
      <formula>"Alta"</formula>
    </cfRule>
    <cfRule type="cellIs" dxfId="209" priority="50" operator="equal">
      <formula>"Media"</formula>
    </cfRule>
    <cfRule type="cellIs" dxfId="208" priority="51" operator="equal">
      <formula>"Baja"</formula>
    </cfRule>
    <cfRule type="cellIs" dxfId="207" priority="52" operator="equal">
      <formula>"Muy Baja"</formula>
    </cfRule>
  </conditionalFormatting>
  <conditionalFormatting sqref="P73">
    <cfRule type="cellIs" dxfId="206" priority="205" operator="equal">
      <formula>"Extremo"</formula>
    </cfRule>
    <cfRule type="cellIs" dxfId="205" priority="206" operator="equal">
      <formula>"Alto"</formula>
    </cfRule>
    <cfRule type="cellIs" dxfId="204" priority="207" operator="equal">
      <formula>"Moderado"</formula>
    </cfRule>
    <cfRule type="cellIs" dxfId="203" priority="208" operator="equal">
      <formula>"Bajo"</formula>
    </cfRule>
  </conditionalFormatting>
  <conditionalFormatting sqref="AA73:AA78">
    <cfRule type="cellIs" dxfId="202" priority="200" operator="equal">
      <formula>"Muy Alta"</formula>
    </cfRule>
    <cfRule type="cellIs" dxfId="201" priority="201" operator="equal">
      <formula>"Alta"</formula>
    </cfRule>
    <cfRule type="cellIs" dxfId="200" priority="202" operator="equal">
      <formula>"Media"</formula>
    </cfRule>
    <cfRule type="cellIs" dxfId="199" priority="203" operator="equal">
      <formula>"Baja"</formula>
    </cfRule>
    <cfRule type="cellIs" dxfId="198" priority="204" operator="equal">
      <formula>"Muy Baja"</formula>
    </cfRule>
  </conditionalFormatting>
  <conditionalFormatting sqref="AC73:AC78">
    <cfRule type="cellIs" dxfId="197" priority="195" operator="equal">
      <formula>"Catastrófico"</formula>
    </cfRule>
    <cfRule type="cellIs" dxfId="196" priority="196" operator="equal">
      <formula>"Mayor"</formula>
    </cfRule>
    <cfRule type="cellIs" dxfId="195" priority="197" operator="equal">
      <formula>"Moderado"</formula>
    </cfRule>
    <cfRule type="cellIs" dxfId="194" priority="198" operator="equal">
      <formula>"Menor"</formula>
    </cfRule>
    <cfRule type="cellIs" dxfId="193" priority="199" operator="equal">
      <formula>"Leve"</formula>
    </cfRule>
  </conditionalFormatting>
  <conditionalFormatting sqref="AE73:AE78">
    <cfRule type="cellIs" dxfId="192" priority="191" operator="equal">
      <formula>"Extremo"</formula>
    </cfRule>
    <cfRule type="cellIs" dxfId="191" priority="192" operator="equal">
      <formula>"Alto"</formula>
    </cfRule>
    <cfRule type="cellIs" dxfId="190" priority="193" operator="equal">
      <formula>"Moderado"</formula>
    </cfRule>
    <cfRule type="cellIs" dxfId="189" priority="194" operator="equal">
      <formula>"Bajo"</formula>
    </cfRule>
  </conditionalFormatting>
  <conditionalFormatting sqref="J79">
    <cfRule type="cellIs" dxfId="188" priority="186" operator="equal">
      <formula>"Muy Alta"</formula>
    </cfRule>
    <cfRule type="cellIs" dxfId="187" priority="187" operator="equal">
      <formula>"Alta"</formula>
    </cfRule>
    <cfRule type="cellIs" dxfId="186" priority="188" operator="equal">
      <formula>"Media"</formula>
    </cfRule>
    <cfRule type="cellIs" dxfId="185" priority="189" operator="equal">
      <formula>"Baja"</formula>
    </cfRule>
    <cfRule type="cellIs" dxfId="184" priority="190" operator="equal">
      <formula>"Muy Baja"</formula>
    </cfRule>
  </conditionalFormatting>
  <conditionalFormatting sqref="P79">
    <cfRule type="cellIs" dxfId="183" priority="182" operator="equal">
      <formula>"Extremo"</formula>
    </cfRule>
    <cfRule type="cellIs" dxfId="182" priority="183" operator="equal">
      <formula>"Alto"</formula>
    </cfRule>
    <cfRule type="cellIs" dxfId="181" priority="184" operator="equal">
      <formula>"Moderado"</formula>
    </cfRule>
    <cfRule type="cellIs" dxfId="180" priority="185" operator="equal">
      <formula>"Bajo"</formula>
    </cfRule>
  </conditionalFormatting>
  <conditionalFormatting sqref="AA79:AA84">
    <cfRule type="cellIs" dxfId="179" priority="177" operator="equal">
      <formula>"Muy Alta"</formula>
    </cfRule>
    <cfRule type="cellIs" dxfId="178" priority="178" operator="equal">
      <formula>"Alta"</formula>
    </cfRule>
    <cfRule type="cellIs" dxfId="177" priority="179" operator="equal">
      <formula>"Media"</formula>
    </cfRule>
    <cfRule type="cellIs" dxfId="176" priority="180" operator="equal">
      <formula>"Baja"</formula>
    </cfRule>
    <cfRule type="cellIs" dxfId="175" priority="181" operator="equal">
      <formula>"Muy Baja"</formula>
    </cfRule>
  </conditionalFormatting>
  <conditionalFormatting sqref="AC79:AC84">
    <cfRule type="cellIs" dxfId="174" priority="172" operator="equal">
      <formula>"Catastrófico"</formula>
    </cfRule>
    <cfRule type="cellIs" dxfId="173" priority="173" operator="equal">
      <formula>"Mayor"</formula>
    </cfRule>
    <cfRule type="cellIs" dxfId="172" priority="174" operator="equal">
      <formula>"Moderado"</formula>
    </cfRule>
    <cfRule type="cellIs" dxfId="171" priority="175" operator="equal">
      <formula>"Menor"</formula>
    </cfRule>
    <cfRule type="cellIs" dxfId="170" priority="176" operator="equal">
      <formula>"Leve"</formula>
    </cfRule>
  </conditionalFormatting>
  <conditionalFormatting sqref="AE79:AE84">
    <cfRule type="cellIs" dxfId="169" priority="168" operator="equal">
      <formula>"Extremo"</formula>
    </cfRule>
    <cfRule type="cellIs" dxfId="168" priority="169" operator="equal">
      <formula>"Alto"</formula>
    </cfRule>
    <cfRule type="cellIs" dxfId="167" priority="170" operator="equal">
      <formula>"Moderado"</formula>
    </cfRule>
    <cfRule type="cellIs" dxfId="166" priority="171" operator="equal">
      <formula>"Bajo"</formula>
    </cfRule>
  </conditionalFormatting>
  <conditionalFormatting sqref="J85">
    <cfRule type="cellIs" dxfId="165" priority="163" operator="equal">
      <formula>"Muy Alta"</formula>
    </cfRule>
    <cfRule type="cellIs" dxfId="164" priority="164" operator="equal">
      <formula>"Alta"</formula>
    </cfRule>
    <cfRule type="cellIs" dxfId="163" priority="165" operator="equal">
      <formula>"Media"</formula>
    </cfRule>
    <cfRule type="cellIs" dxfId="162" priority="166" operator="equal">
      <formula>"Baja"</formula>
    </cfRule>
    <cfRule type="cellIs" dxfId="161" priority="167" operator="equal">
      <formula>"Muy Baja"</formula>
    </cfRule>
  </conditionalFormatting>
  <conditionalFormatting sqref="P85">
    <cfRule type="cellIs" dxfId="160" priority="159" operator="equal">
      <formula>"Extremo"</formula>
    </cfRule>
    <cfRule type="cellIs" dxfId="159" priority="160" operator="equal">
      <formula>"Alto"</formula>
    </cfRule>
    <cfRule type="cellIs" dxfId="158" priority="161" operator="equal">
      <formula>"Moderado"</formula>
    </cfRule>
    <cfRule type="cellIs" dxfId="157" priority="162" operator="equal">
      <formula>"Bajo"</formula>
    </cfRule>
  </conditionalFormatting>
  <conditionalFormatting sqref="AA85:AA90">
    <cfRule type="cellIs" dxfId="156" priority="154" operator="equal">
      <formula>"Muy Alta"</formula>
    </cfRule>
    <cfRule type="cellIs" dxfId="155" priority="155" operator="equal">
      <formula>"Alta"</formula>
    </cfRule>
    <cfRule type="cellIs" dxfId="154" priority="156" operator="equal">
      <formula>"Media"</formula>
    </cfRule>
    <cfRule type="cellIs" dxfId="153" priority="157" operator="equal">
      <formula>"Baja"</formula>
    </cfRule>
    <cfRule type="cellIs" dxfId="152" priority="158" operator="equal">
      <formula>"Muy Baja"</formula>
    </cfRule>
  </conditionalFormatting>
  <conditionalFormatting sqref="AC85:AC90">
    <cfRule type="cellIs" dxfId="151" priority="149" operator="equal">
      <formula>"Catastrófico"</formula>
    </cfRule>
    <cfRule type="cellIs" dxfId="150" priority="150" operator="equal">
      <formula>"Mayor"</formula>
    </cfRule>
    <cfRule type="cellIs" dxfId="149" priority="151" operator="equal">
      <formula>"Moderado"</formula>
    </cfRule>
    <cfRule type="cellIs" dxfId="148" priority="152" operator="equal">
      <formula>"Menor"</formula>
    </cfRule>
    <cfRule type="cellIs" dxfId="147" priority="153" operator="equal">
      <formula>"Leve"</formula>
    </cfRule>
  </conditionalFormatting>
  <conditionalFormatting sqref="AE85:AE90">
    <cfRule type="cellIs" dxfId="146" priority="145" operator="equal">
      <formula>"Extremo"</formula>
    </cfRule>
    <cfRule type="cellIs" dxfId="145" priority="146" operator="equal">
      <formula>"Alto"</formula>
    </cfRule>
    <cfRule type="cellIs" dxfId="144" priority="147" operator="equal">
      <formula>"Moderado"</formula>
    </cfRule>
    <cfRule type="cellIs" dxfId="143" priority="148" operator="equal">
      <formula>"Bajo"</formula>
    </cfRule>
  </conditionalFormatting>
  <conditionalFormatting sqref="J91">
    <cfRule type="cellIs" dxfId="142" priority="140" operator="equal">
      <formula>"Muy Alta"</formula>
    </cfRule>
    <cfRule type="cellIs" dxfId="141" priority="141" operator="equal">
      <formula>"Alta"</formula>
    </cfRule>
    <cfRule type="cellIs" dxfId="140" priority="142" operator="equal">
      <formula>"Media"</formula>
    </cfRule>
    <cfRule type="cellIs" dxfId="139" priority="143" operator="equal">
      <formula>"Baja"</formula>
    </cfRule>
    <cfRule type="cellIs" dxfId="138" priority="144" operator="equal">
      <formula>"Muy Baja"</formula>
    </cfRule>
  </conditionalFormatting>
  <conditionalFormatting sqref="P91">
    <cfRule type="cellIs" dxfId="137" priority="136" operator="equal">
      <formula>"Extremo"</formula>
    </cfRule>
    <cfRule type="cellIs" dxfId="136" priority="137" operator="equal">
      <formula>"Alto"</formula>
    </cfRule>
    <cfRule type="cellIs" dxfId="135" priority="138" operator="equal">
      <formula>"Moderado"</formula>
    </cfRule>
    <cfRule type="cellIs" dxfId="134" priority="139" operator="equal">
      <formula>"Bajo"</formula>
    </cfRule>
  </conditionalFormatting>
  <conditionalFormatting sqref="AA91:AA96">
    <cfRule type="cellIs" dxfId="133" priority="131" operator="equal">
      <formula>"Muy Alta"</formula>
    </cfRule>
    <cfRule type="cellIs" dxfId="132" priority="132" operator="equal">
      <formula>"Alta"</formula>
    </cfRule>
    <cfRule type="cellIs" dxfId="131" priority="133" operator="equal">
      <formula>"Media"</formula>
    </cfRule>
    <cfRule type="cellIs" dxfId="130" priority="134" operator="equal">
      <formula>"Baja"</formula>
    </cfRule>
    <cfRule type="cellIs" dxfId="129" priority="135" operator="equal">
      <formula>"Muy Baja"</formula>
    </cfRule>
  </conditionalFormatting>
  <conditionalFormatting sqref="AC91:AC96">
    <cfRule type="cellIs" dxfId="128" priority="126" operator="equal">
      <formula>"Catastrófico"</formula>
    </cfRule>
    <cfRule type="cellIs" dxfId="127" priority="127" operator="equal">
      <formula>"Mayor"</formula>
    </cfRule>
    <cfRule type="cellIs" dxfId="126" priority="128" operator="equal">
      <formula>"Moderado"</formula>
    </cfRule>
    <cfRule type="cellIs" dxfId="125" priority="129" operator="equal">
      <formula>"Menor"</formula>
    </cfRule>
    <cfRule type="cellIs" dxfId="124" priority="130" operator="equal">
      <formula>"Leve"</formula>
    </cfRule>
  </conditionalFormatting>
  <conditionalFormatting sqref="AE91:AE96">
    <cfRule type="cellIs" dxfId="123" priority="122" operator="equal">
      <formula>"Extremo"</formula>
    </cfRule>
    <cfRule type="cellIs" dxfId="122" priority="123" operator="equal">
      <formula>"Alto"</formula>
    </cfRule>
    <cfRule type="cellIs" dxfId="121" priority="124" operator="equal">
      <formula>"Moderado"</formula>
    </cfRule>
    <cfRule type="cellIs" dxfId="120" priority="125" operator="equal">
      <formula>"Bajo"</formula>
    </cfRule>
  </conditionalFormatting>
  <conditionalFormatting sqref="J97">
    <cfRule type="cellIs" dxfId="119" priority="117" operator="equal">
      <formula>"Muy Alta"</formula>
    </cfRule>
    <cfRule type="cellIs" dxfId="118" priority="118" operator="equal">
      <formula>"Alta"</formula>
    </cfRule>
    <cfRule type="cellIs" dxfId="117" priority="119" operator="equal">
      <formula>"Media"</formula>
    </cfRule>
    <cfRule type="cellIs" dxfId="116" priority="120" operator="equal">
      <formula>"Baja"</formula>
    </cfRule>
    <cfRule type="cellIs" dxfId="115" priority="121" operator="equal">
      <formula>"Muy Baja"</formula>
    </cfRule>
  </conditionalFormatting>
  <conditionalFormatting sqref="P97">
    <cfRule type="cellIs" dxfId="114" priority="113" operator="equal">
      <formula>"Extremo"</formula>
    </cfRule>
    <cfRule type="cellIs" dxfId="113" priority="114" operator="equal">
      <formula>"Alto"</formula>
    </cfRule>
    <cfRule type="cellIs" dxfId="112" priority="115" operator="equal">
      <formula>"Moderado"</formula>
    </cfRule>
    <cfRule type="cellIs" dxfId="111" priority="116" operator="equal">
      <formula>"Bajo"</formula>
    </cfRule>
  </conditionalFormatting>
  <conditionalFormatting sqref="AA97:AA102">
    <cfRule type="cellIs" dxfId="110" priority="108" operator="equal">
      <formula>"Muy Alta"</formula>
    </cfRule>
    <cfRule type="cellIs" dxfId="109" priority="109" operator="equal">
      <formula>"Alta"</formula>
    </cfRule>
    <cfRule type="cellIs" dxfId="108" priority="110" operator="equal">
      <formula>"Media"</formula>
    </cfRule>
    <cfRule type="cellIs" dxfId="107" priority="111" operator="equal">
      <formula>"Baja"</formula>
    </cfRule>
    <cfRule type="cellIs" dxfId="106" priority="112" operator="equal">
      <formula>"Muy Baja"</formula>
    </cfRule>
  </conditionalFormatting>
  <conditionalFormatting sqref="AC97:AC102">
    <cfRule type="cellIs" dxfId="105" priority="103" operator="equal">
      <formula>"Catastrófico"</formula>
    </cfRule>
    <cfRule type="cellIs" dxfId="104" priority="104" operator="equal">
      <formula>"Mayor"</formula>
    </cfRule>
    <cfRule type="cellIs" dxfId="103" priority="105" operator="equal">
      <formula>"Moderado"</formula>
    </cfRule>
    <cfRule type="cellIs" dxfId="102" priority="106" operator="equal">
      <formula>"Menor"</formula>
    </cfRule>
    <cfRule type="cellIs" dxfId="101" priority="107" operator="equal">
      <formula>"Leve"</formula>
    </cfRule>
  </conditionalFormatting>
  <conditionalFormatting sqref="AE97:AE102">
    <cfRule type="cellIs" dxfId="100" priority="99" operator="equal">
      <formula>"Extremo"</formula>
    </cfRule>
    <cfRule type="cellIs" dxfId="99" priority="100" operator="equal">
      <formula>"Alto"</formula>
    </cfRule>
    <cfRule type="cellIs" dxfId="98" priority="101" operator="equal">
      <formula>"Moderado"</formula>
    </cfRule>
    <cfRule type="cellIs" dxfId="97" priority="102" operator="equal">
      <formula>"Bajo"</formula>
    </cfRule>
  </conditionalFormatting>
  <conditionalFormatting sqref="J103">
    <cfRule type="cellIs" dxfId="96" priority="94" operator="equal">
      <formula>"Muy Alta"</formula>
    </cfRule>
    <cfRule type="cellIs" dxfId="95" priority="95" operator="equal">
      <formula>"Alta"</formula>
    </cfRule>
    <cfRule type="cellIs" dxfId="94" priority="96" operator="equal">
      <formula>"Media"</formula>
    </cfRule>
    <cfRule type="cellIs" dxfId="93" priority="97" operator="equal">
      <formula>"Baja"</formula>
    </cfRule>
    <cfRule type="cellIs" dxfId="92" priority="98" operator="equal">
      <formula>"Muy Baja"</formula>
    </cfRule>
  </conditionalFormatting>
  <conditionalFormatting sqref="P103">
    <cfRule type="cellIs" dxfId="91" priority="90" operator="equal">
      <formula>"Extremo"</formula>
    </cfRule>
    <cfRule type="cellIs" dxfId="90" priority="91" operator="equal">
      <formula>"Alto"</formula>
    </cfRule>
    <cfRule type="cellIs" dxfId="89" priority="92" operator="equal">
      <formula>"Moderado"</formula>
    </cfRule>
    <cfRule type="cellIs" dxfId="88" priority="93" operator="equal">
      <formula>"Bajo"</formula>
    </cfRule>
  </conditionalFormatting>
  <conditionalFormatting sqref="AA103:AA108">
    <cfRule type="cellIs" dxfId="87" priority="85" operator="equal">
      <formula>"Muy Alta"</formula>
    </cfRule>
    <cfRule type="cellIs" dxfId="86" priority="86" operator="equal">
      <formula>"Alta"</formula>
    </cfRule>
    <cfRule type="cellIs" dxfId="85" priority="87" operator="equal">
      <formula>"Media"</formula>
    </cfRule>
    <cfRule type="cellIs" dxfId="84" priority="88" operator="equal">
      <formula>"Baja"</formula>
    </cfRule>
    <cfRule type="cellIs" dxfId="83" priority="89" operator="equal">
      <formula>"Muy Baja"</formula>
    </cfRule>
  </conditionalFormatting>
  <conditionalFormatting sqref="AC103:AC108">
    <cfRule type="cellIs" dxfId="82" priority="80" operator="equal">
      <formula>"Catastrófico"</formula>
    </cfRule>
    <cfRule type="cellIs" dxfId="81" priority="81" operator="equal">
      <formula>"Mayor"</formula>
    </cfRule>
    <cfRule type="cellIs" dxfId="80" priority="82" operator="equal">
      <formula>"Moderado"</formula>
    </cfRule>
    <cfRule type="cellIs" dxfId="79" priority="83" operator="equal">
      <formula>"Menor"</formula>
    </cfRule>
    <cfRule type="cellIs" dxfId="78" priority="84" operator="equal">
      <formula>"Leve"</formula>
    </cfRule>
  </conditionalFormatting>
  <conditionalFormatting sqref="AE103:AE108">
    <cfRule type="cellIs" dxfId="77" priority="76" operator="equal">
      <formula>"Extremo"</formula>
    </cfRule>
    <cfRule type="cellIs" dxfId="76" priority="77" operator="equal">
      <formula>"Alto"</formula>
    </cfRule>
    <cfRule type="cellIs" dxfId="75" priority="78" operator="equal">
      <formula>"Moderado"</formula>
    </cfRule>
    <cfRule type="cellIs" dxfId="74" priority="79" operator="equal">
      <formula>"Bajo"</formula>
    </cfRule>
  </conditionalFormatting>
  <conditionalFormatting sqref="J109">
    <cfRule type="cellIs" dxfId="73" priority="71" operator="equal">
      <formula>"Muy Alta"</formula>
    </cfRule>
    <cfRule type="cellIs" dxfId="72" priority="72" operator="equal">
      <formula>"Alta"</formula>
    </cfRule>
    <cfRule type="cellIs" dxfId="71" priority="73" operator="equal">
      <formula>"Media"</formula>
    </cfRule>
    <cfRule type="cellIs" dxfId="70" priority="74" operator="equal">
      <formula>"Baja"</formula>
    </cfRule>
    <cfRule type="cellIs" dxfId="69" priority="75" operator="equal">
      <formula>"Muy Baja"</formula>
    </cfRule>
  </conditionalFormatting>
  <conditionalFormatting sqref="P109">
    <cfRule type="cellIs" dxfId="68" priority="67" operator="equal">
      <formula>"Extremo"</formula>
    </cfRule>
    <cfRule type="cellIs" dxfId="67" priority="68" operator="equal">
      <formula>"Alto"</formula>
    </cfRule>
    <cfRule type="cellIs" dxfId="66" priority="69" operator="equal">
      <formula>"Moderado"</formula>
    </cfRule>
    <cfRule type="cellIs" dxfId="65" priority="70" operator="equal">
      <formula>"Bajo"</formula>
    </cfRule>
  </conditionalFormatting>
  <conditionalFormatting sqref="AA109:AA114">
    <cfRule type="cellIs" dxfId="64" priority="62" operator="equal">
      <formula>"Muy Alta"</formula>
    </cfRule>
    <cfRule type="cellIs" dxfId="63" priority="63" operator="equal">
      <formula>"Alta"</formula>
    </cfRule>
    <cfRule type="cellIs" dxfId="62" priority="64" operator="equal">
      <formula>"Media"</formula>
    </cfRule>
    <cfRule type="cellIs" dxfId="61" priority="65" operator="equal">
      <formula>"Baja"</formula>
    </cfRule>
    <cfRule type="cellIs" dxfId="60" priority="66" operator="equal">
      <formula>"Muy Baja"</formula>
    </cfRule>
  </conditionalFormatting>
  <conditionalFormatting sqref="AC109:AC114">
    <cfRule type="cellIs" dxfId="59" priority="57" operator="equal">
      <formula>"Catastrófico"</formula>
    </cfRule>
    <cfRule type="cellIs" dxfId="58" priority="58" operator="equal">
      <formula>"Mayor"</formula>
    </cfRule>
    <cfRule type="cellIs" dxfId="57" priority="59" operator="equal">
      <formula>"Moderado"</formula>
    </cfRule>
    <cfRule type="cellIs" dxfId="56" priority="60" operator="equal">
      <formula>"Menor"</formula>
    </cfRule>
    <cfRule type="cellIs" dxfId="55" priority="61" operator="equal">
      <formula>"Leve"</formula>
    </cfRule>
  </conditionalFormatting>
  <conditionalFormatting sqref="AE109:AE114">
    <cfRule type="cellIs" dxfId="54" priority="53" operator="equal">
      <formula>"Extremo"</formula>
    </cfRule>
    <cfRule type="cellIs" dxfId="53" priority="54" operator="equal">
      <formula>"Alto"</formula>
    </cfRule>
    <cfRule type="cellIs" dxfId="52" priority="55" operator="equal">
      <formula>"Moderado"</formula>
    </cfRule>
    <cfRule type="cellIs" dxfId="51" priority="56" operator="equal">
      <formula>"Bajo"</formula>
    </cfRule>
  </conditionalFormatting>
  <conditionalFormatting sqref="P115">
    <cfRule type="cellIs" dxfId="50" priority="44" operator="equal">
      <formula>"Extremo"</formula>
    </cfRule>
    <cfRule type="cellIs" dxfId="49" priority="45" operator="equal">
      <formula>"Alto"</formula>
    </cfRule>
    <cfRule type="cellIs" dxfId="48" priority="46" operator="equal">
      <formula>"Moderado"</formula>
    </cfRule>
    <cfRule type="cellIs" dxfId="47" priority="47" operator="equal">
      <formula>"Bajo"</formula>
    </cfRule>
  </conditionalFormatting>
  <conditionalFormatting sqref="AA115:AA120">
    <cfRule type="cellIs" dxfId="46" priority="39" operator="equal">
      <formula>"Muy Alta"</formula>
    </cfRule>
    <cfRule type="cellIs" dxfId="45" priority="40" operator="equal">
      <formula>"Alta"</formula>
    </cfRule>
    <cfRule type="cellIs" dxfId="44" priority="41" operator="equal">
      <formula>"Media"</formula>
    </cfRule>
    <cfRule type="cellIs" dxfId="43" priority="42" operator="equal">
      <formula>"Baja"</formula>
    </cfRule>
    <cfRule type="cellIs" dxfId="42" priority="43" operator="equal">
      <formula>"Muy Baja"</formula>
    </cfRule>
  </conditionalFormatting>
  <conditionalFormatting sqref="AC115:AC120">
    <cfRule type="cellIs" dxfId="41" priority="34" operator="equal">
      <formula>"Catastrófico"</formula>
    </cfRule>
    <cfRule type="cellIs" dxfId="40" priority="35" operator="equal">
      <formula>"Mayor"</formula>
    </cfRule>
    <cfRule type="cellIs" dxfId="39" priority="36" operator="equal">
      <formula>"Moderado"</formula>
    </cfRule>
    <cfRule type="cellIs" dxfId="38" priority="37" operator="equal">
      <formula>"Menor"</formula>
    </cfRule>
    <cfRule type="cellIs" dxfId="37" priority="38" operator="equal">
      <formula>"Leve"</formula>
    </cfRule>
  </conditionalFormatting>
  <conditionalFormatting sqref="AE115:AE120">
    <cfRule type="cellIs" dxfId="36" priority="30" operator="equal">
      <formula>"Extremo"</formula>
    </cfRule>
    <cfRule type="cellIs" dxfId="35" priority="31" operator="equal">
      <formula>"Alto"</formula>
    </cfRule>
    <cfRule type="cellIs" dxfId="34" priority="32" operator="equal">
      <formula>"Moderado"</formula>
    </cfRule>
    <cfRule type="cellIs" dxfId="33" priority="33" operator="equal">
      <formula>"Bajo"</formula>
    </cfRule>
  </conditionalFormatting>
  <conditionalFormatting sqref="J121">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P121">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AA121:AA126">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C121:AC126">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E121:AE126">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M67:M126">
    <cfRule type="containsText" dxfId="9" priority="6" operator="containsText" text="❌">
      <formula>NOT(ISERROR(SEARCH("❌",M67)))</formula>
    </cfRule>
  </conditionalFormatting>
  <conditionalFormatting sqref="J7">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dataValidations count="8">
    <dataValidation type="list" allowBlank="1" showInputMessage="1" showErrorMessage="1" sqref="L128">
      <formula1>"Insignificante, Menor, Moderado, Mayor, Crítico"</formula1>
    </dataValidation>
    <dataValidation type="list" allowBlank="1" showInputMessage="1" showErrorMessage="1" sqref="S128">
      <formula1>"Preventivo, Detectivo, Correctivo"</formula1>
    </dataValidation>
    <dataValidation type="list" allowBlank="1" showInputMessage="1" showErrorMessage="1" sqref="T128">
      <formula1>"Autómatico, Manual"</formula1>
    </dataValidation>
    <dataValidation type="list" allowBlank="1" showInputMessage="1" showErrorMessage="1" sqref="V128">
      <formula1>"Documentado, Sin documentar"</formula1>
    </dataValidation>
    <dataValidation type="list" allowBlank="1" showInputMessage="1" showErrorMessage="1" sqref="W128">
      <formula1>"Continua, Aleatoria "</formula1>
    </dataValidation>
    <dataValidation type="list" allowBlank="1" showInputMessage="1" showErrorMessage="1" sqref="X128">
      <formula1>"Con resgistro, Sin registro"</formula1>
    </dataValidation>
    <dataValidation type="list" allowBlank="1" showInputMessage="1" showErrorMessage="1" sqref="G7:G1048576 G1:G2 G4">
      <formula1>"Estratégicos, Imagen, Operativos, Financieros,Cumplimiento,Tecnológicos, Fraude, Corrupción, Imparcialidad, Confidencialidad, Seguridad de la información "</formula1>
    </dataValidation>
    <dataValidation type="list" allowBlank="1" showInputMessage="1" showErrorMessage="1" sqref="H4 H1:H2 H7:H25 H31:H1048576">
      <formula1>"Positivo (Oportunidad) , Negativo (Amenaza)"</formula1>
    </dataValidation>
  </dataValidations>
  <pageMargins left="0.7" right="0.7" top="0.75" bottom="0.75" header="0.3" footer="0.3"/>
  <pageSetup orientation="portrait" r:id="rId1"/>
  <ignoredErrors>
    <ignoredError sqref="AD9" formula="1"/>
  </ignoredErrors>
  <extLst>
    <ext xmlns:x14="http://schemas.microsoft.com/office/spreadsheetml/2009/9/main" uri="{CCE6A557-97BC-4b89-ADB6-D9C93CAAB3DF}">
      <x14:dataValidations xmlns:xm="http://schemas.microsoft.com/office/excel/2006/main" count="14">
        <x14:dataValidation type="list" allowBlank="1" showInputMessage="1" showErrorMessage="1">
          <x14:formula1>
            <xm:f>'Tabla Valoración controles'!$D$4:$D$6</xm:f>
          </x14:formula1>
          <xm:sqref>T7:T126</xm:sqref>
        </x14:dataValidation>
        <x14:dataValidation type="list" allowBlank="1" showInputMessage="1" showErrorMessage="1">
          <x14:formula1>
            <xm:f>'Tabla Valoración controles'!$D$7:$D$8</xm:f>
          </x14:formula1>
          <xm:sqref>U7:U126</xm:sqref>
        </x14:dataValidation>
        <x14:dataValidation type="list" allowBlank="1" showInputMessage="1" showErrorMessage="1">
          <x14:formula1>
            <xm:f>'Tabla Valoración controles'!$D$9:$D$10</xm:f>
          </x14:formula1>
          <xm:sqref>W7:W126</xm:sqref>
        </x14:dataValidation>
        <x14:dataValidation type="list" allowBlank="1" showInputMessage="1" showErrorMessage="1">
          <x14:formula1>
            <xm:f>'Tabla Valoración controles'!$D$11:$D$12</xm:f>
          </x14:formula1>
          <xm:sqref>X7:X126</xm:sqref>
        </x14:dataValidation>
        <x14:dataValidation type="list" allowBlank="1" showInputMessage="1" showErrorMessage="1">
          <x14:formula1>
            <xm:f>'Opciones Tratamiento'!$B$9:$B$10</xm:f>
          </x14:formula1>
          <xm:sqref>AL7:AL11 AL13:AL14 AL16:AL17 AL19:AL20 AL22:AL23 AL25:AL26 AL28:AL29 AL31:AL32 AL34:AL35 AL37:AL38 AL40:AL41 AL43:AL44 AL46:AL47 AL49:AL50 AL52:AL53 AL55:AL56 AL58:AL59 AL61:AL62 AL64:AL65 AL67:AL68 AL70:AL71 AL73:AL74 AL76:AL77 AL79:AL80 AL82:AL83 AL85:AL86 AL88:AL89 AL91:AL92 AL94:AL95 AL97:AL98 AL100:AL101 AL103:AL104 AL106:AL107 AL109:AL110 AL112:AL113 AL115:AL116 AL118:AL119 AL121:AL122 AL124:AL125</xm:sqref>
        </x14:dataValidation>
        <x14:dataValidation type="list" allowBlank="1" showInputMessage="1" showErrorMessage="1">
          <x14:formula1>
            <xm:f>'Tabla Valoración controles'!$D$13:$D$14</xm:f>
          </x14:formula1>
          <xm:sqref>Y7:Y126</xm:sqref>
        </x14:dataValidation>
        <x14:dataValidation type="list" allowBlank="1" showInputMessage="1" showErrorMessage="1">
          <x14:formula1>
            <xm:f>'Opciones Tratamiento'!$B$2:$B$5</xm:f>
          </x14:formula1>
          <xm:sqref>AF7:AF126</xm:sqref>
        </x14:dataValidation>
        <x14:dataValidation type="list" allowBlank="1" showInputMessage="1" showErrorMessage="1">
          <x14:formula1>
            <xm:f>'Tabla Impacto'!$F$210:$F$221</xm:f>
          </x14:formula1>
          <xm:sqref>L7:L126</xm:sqref>
        </x14:dataValidation>
        <x14:dataValidation type="custom" allowBlank="1" showInputMessage="1" showErrorMessage="1" error="Recuerde que las acciones se generan bajo la medida de mitigar el riesgo">
          <x14:formula1>
            <xm:f>IF(OR(AF7='Opciones Tratamiento'!$B$2,AF7='Opciones Tratamiento'!$B$3,AF7='Opciones Tratamiento'!$B$4),ISBLANK(AF7),ISTEXT(AF7))</xm:f>
          </x14:formula1>
          <xm:sqref>AG7:AG126</xm:sqref>
        </x14:dataValidation>
        <x14:dataValidation type="custom" allowBlank="1" showInputMessage="1" showErrorMessage="1" error="Recuerde que las acciones se generan bajo la medida de mitigar el riesgo">
          <x14:formula1>
            <xm:f>IF(OR(AF7='Opciones Tratamiento'!$B$2,AF7='Opciones Tratamiento'!$B$3,AF7='Opciones Tratamiento'!$B$4),ISBLANK(AF7),ISTEXT(AF7))</xm:f>
          </x14:formula1>
          <xm:sqref>AH7:AH126</xm:sqref>
        </x14:dataValidation>
        <x14:dataValidation type="custom" allowBlank="1" showInputMessage="1" showErrorMessage="1" error="Recuerde que las acciones se generan bajo la medida de mitigar el riesgo">
          <x14:formula1>
            <xm:f>IF(OR(AF7='Opciones Tratamiento'!$B$2,AF7='Opciones Tratamiento'!$B$3,AF7='Opciones Tratamiento'!$B$4),ISBLANK(AF7),ISTEXT(AF7))</xm:f>
          </x14:formula1>
          <xm:sqref>AI7:AI126</xm:sqref>
        </x14:dataValidation>
        <x14:dataValidation type="custom" allowBlank="1" showInputMessage="1" showErrorMessage="1" error="Recuerde que las acciones se generan bajo la medida de mitigar el riesgo">
          <x14:formula1>
            <xm:f>IF(OR(AF7='Opciones Tratamiento'!$B$2,AF7='Opciones Tratamiento'!$B$3,AF7='Opciones Tratamiento'!$B$4),ISBLANK(AF7),ISTEXT(AF7))</xm:f>
          </x14:formula1>
          <xm:sqref>AJ7:AJ126</xm:sqref>
        </x14:dataValidation>
        <x14:dataValidation type="custom" allowBlank="1" showInputMessage="1" showErrorMessage="1" error="Recuerde que las acciones se generan bajo la medida de mitigar el riesgo">
          <x14:formula1>
            <xm:f>IF(OR(AF7='Opciones Tratamiento'!$B$2,AF7='Opciones Tratamiento'!$B$3,AF7='Opciones Tratamiento'!$B$4),ISBLANK(AF7),ISTEXT(AF7))</xm:f>
          </x14:formula1>
          <xm:sqref>AK7 AK10:AK126</xm:sqref>
        </x14:dataValidation>
        <x14:dataValidation type="custom" allowBlank="1" showInputMessage="1" showErrorMessage="1" error="Recuerde que las acciones se generan bajo la medida de mitigar el riesgo">
          <x14:formula1>
            <xm:f>IF(OR(AF8='[1]Opciones Tratamiento'!#REF!,AF8='[1]Opciones Tratamiento'!#REF!,AF8='[1]Opciones Tratamiento'!#REF!),ISBLANK(AF8),ISTEXT(AF8))</xm:f>
          </x14:formula1>
          <xm:sqref>AK8:AK9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U140"/>
  <sheetViews>
    <sheetView topLeftCell="A4" zoomScale="50" zoomScaleNormal="50" workbookViewId="0">
      <selection activeCell="P32" sqref="P32:U37"/>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31" t="s">
        <v>154</v>
      </c>
      <c r="C2" s="231"/>
      <c r="D2" s="231"/>
      <c r="E2" s="231"/>
      <c r="F2" s="231"/>
      <c r="G2" s="231"/>
      <c r="H2" s="231"/>
      <c r="I2" s="231"/>
      <c r="J2" s="269" t="s">
        <v>2</v>
      </c>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31"/>
      <c r="C3" s="231"/>
      <c r="D3" s="231"/>
      <c r="E3" s="231"/>
      <c r="F3" s="231"/>
      <c r="G3" s="231"/>
      <c r="H3" s="231"/>
      <c r="I3" s="231"/>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31"/>
      <c r="C4" s="231"/>
      <c r="D4" s="231"/>
      <c r="E4" s="231"/>
      <c r="F4" s="231"/>
      <c r="G4" s="231"/>
      <c r="H4" s="231"/>
      <c r="I4" s="231"/>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81" t="s">
        <v>3</v>
      </c>
      <c r="C6" s="281"/>
      <c r="D6" s="282"/>
      <c r="E6" s="270" t="s">
        <v>112</v>
      </c>
      <c r="F6" s="271"/>
      <c r="G6" s="271"/>
      <c r="H6" s="271"/>
      <c r="I6" s="272"/>
      <c r="J6" s="266" t="str">
        <f>IF(AND('Mapa final'!$J$7="Muy Alta",'Mapa final'!$N$7="Leve"),CONCATENATE("R",'Mapa final'!$A$7),"")</f>
        <v/>
      </c>
      <c r="K6" s="267"/>
      <c r="L6" s="267" t="str">
        <f ca="1">IF(AND('Mapa final'!$J$13="Muy Alta",'Mapa final'!$N$13="Leve"),CONCATENATE("R",'Mapa final'!$A$13),"")</f>
        <v/>
      </c>
      <c r="M6" s="267"/>
      <c r="N6" s="267" t="str">
        <f ca="1">IF(AND('Mapa final'!$J$19="Muy Alta",'Mapa final'!$N$19="Leve"),CONCATENATE("R",'Mapa final'!$A$19),"")</f>
        <v/>
      </c>
      <c r="O6" s="268"/>
      <c r="P6" s="266" t="str">
        <f>IF(AND('Mapa final'!$J$7="Muy Alta",'Mapa final'!$N$7="Menor"),CONCATENATE("R",'Mapa final'!$A$7),"")</f>
        <v/>
      </c>
      <c r="Q6" s="267"/>
      <c r="R6" s="267" t="str">
        <f ca="1">IF(AND('Mapa final'!$J$13="Muy Alta",'Mapa final'!$N$13="Menor"),CONCATENATE("R",'Mapa final'!$A$13),"")</f>
        <v/>
      </c>
      <c r="S6" s="267"/>
      <c r="T6" s="267" t="str">
        <f ca="1">IF(AND('Mapa final'!$J$19="Muy Alta",'Mapa final'!$N$19="Menor"),CONCATENATE("R",'Mapa final'!$A$19),"")</f>
        <v/>
      </c>
      <c r="U6" s="268"/>
      <c r="V6" s="266" t="str">
        <f>IF(AND('Mapa final'!$J$7="Muy Alta",'Mapa final'!$N$7="Moderado"),CONCATENATE("R",'Mapa final'!$A$7),"")</f>
        <v/>
      </c>
      <c r="W6" s="267"/>
      <c r="X6" s="267" t="str">
        <f ca="1">IF(AND('Mapa final'!$J$13="Muy Alta",'Mapa final'!$N$13="Moderado"),CONCATENATE("R",'Mapa final'!$A$13),"")</f>
        <v/>
      </c>
      <c r="Y6" s="267"/>
      <c r="Z6" s="267" t="str">
        <f ca="1">IF(AND('Mapa final'!$J$19="Muy Alta",'Mapa final'!$N$19="Moderado"),CONCATENATE("R",'Mapa final'!$A$19),"")</f>
        <v/>
      </c>
      <c r="AA6" s="268"/>
      <c r="AB6" s="266" t="str">
        <f>IF(AND('Mapa final'!$J$7="Muy Alta",'Mapa final'!$N$7="Mayor"),CONCATENATE("R",'Mapa final'!$A$7),"")</f>
        <v/>
      </c>
      <c r="AC6" s="267"/>
      <c r="AD6" s="267" t="str">
        <f ca="1">IF(AND('Mapa final'!$J$13="Muy Alta",'Mapa final'!$N$13="Mayor"),CONCATENATE("R",'Mapa final'!$A$13),"")</f>
        <v/>
      </c>
      <c r="AE6" s="267"/>
      <c r="AF6" s="267" t="str">
        <f ca="1">IF(AND('Mapa final'!$J$19="Muy Alta",'Mapa final'!$N$19="Mayor"),CONCATENATE("R",'Mapa final'!$A$19),"")</f>
        <v/>
      </c>
      <c r="AG6" s="268"/>
      <c r="AH6" s="256" t="str">
        <f>IF(AND('Mapa final'!$J$7="Muy Alta",'Mapa final'!$N$7="Catastrófico"),CONCATENATE("R",'Mapa final'!$A$7),"")</f>
        <v/>
      </c>
      <c r="AI6" s="257"/>
      <c r="AJ6" s="257" t="str">
        <f ca="1">IF(AND('Mapa final'!$J$13="Muy Alta",'Mapa final'!$N$13="Catastrófico"),CONCATENATE("R",'Mapa final'!$A$13),"")</f>
        <v/>
      </c>
      <c r="AK6" s="257"/>
      <c r="AL6" s="257" t="str">
        <f ca="1">IF(AND('Mapa final'!$J$19="Muy Alta",'Mapa final'!$N$19="Catastrófico"),CONCATENATE("R",'Mapa final'!$A$19),"")</f>
        <v/>
      </c>
      <c r="AM6" s="258"/>
      <c r="AO6" s="283" t="s">
        <v>75</v>
      </c>
      <c r="AP6" s="284"/>
      <c r="AQ6" s="284"/>
      <c r="AR6" s="284"/>
      <c r="AS6" s="284"/>
      <c r="AT6" s="285"/>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81"/>
      <c r="C7" s="281"/>
      <c r="D7" s="282"/>
      <c r="E7" s="273"/>
      <c r="F7" s="274"/>
      <c r="G7" s="274"/>
      <c r="H7" s="274"/>
      <c r="I7" s="275"/>
      <c r="J7" s="259"/>
      <c r="K7" s="260"/>
      <c r="L7" s="260"/>
      <c r="M7" s="260"/>
      <c r="N7" s="260"/>
      <c r="O7" s="262"/>
      <c r="P7" s="259"/>
      <c r="Q7" s="260"/>
      <c r="R7" s="260"/>
      <c r="S7" s="260"/>
      <c r="T7" s="260"/>
      <c r="U7" s="262"/>
      <c r="V7" s="259"/>
      <c r="W7" s="260"/>
      <c r="X7" s="260"/>
      <c r="Y7" s="260"/>
      <c r="Z7" s="260"/>
      <c r="AA7" s="262"/>
      <c r="AB7" s="259"/>
      <c r="AC7" s="260"/>
      <c r="AD7" s="260"/>
      <c r="AE7" s="260"/>
      <c r="AF7" s="260"/>
      <c r="AG7" s="262"/>
      <c r="AH7" s="250"/>
      <c r="AI7" s="251"/>
      <c r="AJ7" s="251"/>
      <c r="AK7" s="251"/>
      <c r="AL7" s="251"/>
      <c r="AM7" s="252"/>
      <c r="AN7" s="70"/>
      <c r="AO7" s="286"/>
      <c r="AP7" s="287"/>
      <c r="AQ7" s="287"/>
      <c r="AR7" s="287"/>
      <c r="AS7" s="287"/>
      <c r="AT7" s="288"/>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81"/>
      <c r="C8" s="281"/>
      <c r="D8" s="282"/>
      <c r="E8" s="273"/>
      <c r="F8" s="274"/>
      <c r="G8" s="274"/>
      <c r="H8" s="274"/>
      <c r="I8" s="275"/>
      <c r="J8" s="259" t="str">
        <f ca="1">IF(AND('Mapa final'!$J$25="Muy Alta",'Mapa final'!$N$25="Leve"),CONCATENATE("R",'Mapa final'!$A$25),"")</f>
        <v/>
      </c>
      <c r="K8" s="260"/>
      <c r="L8" s="261" t="str">
        <f ca="1">IF(AND('Mapa final'!$J$31="Muy Alta",'Mapa final'!$N$31="Leve"),CONCATENATE("R",'Mapa final'!$A$31),"")</f>
        <v/>
      </c>
      <c r="M8" s="261"/>
      <c r="N8" s="261" t="str">
        <f ca="1">IF(AND('Mapa final'!$J$37="Muy Alta",'Mapa final'!$N$37="Leve"),CONCATENATE("R",'Mapa final'!$A$37),"")</f>
        <v/>
      </c>
      <c r="O8" s="262"/>
      <c r="P8" s="259" t="str">
        <f ca="1">IF(AND('Mapa final'!$J$25="Muy Alta",'Mapa final'!$N$25="Menor"),CONCATENATE("R",'Mapa final'!$A$25),"")</f>
        <v/>
      </c>
      <c r="Q8" s="260"/>
      <c r="R8" s="261" t="str">
        <f ca="1">IF(AND('Mapa final'!$J$31="Muy Alta",'Mapa final'!$N$31="Menor"),CONCATENATE("R",'Mapa final'!$A$31),"")</f>
        <v/>
      </c>
      <c r="S8" s="261"/>
      <c r="T8" s="261" t="str">
        <f ca="1">IF(AND('Mapa final'!$J$37="Muy Alta",'Mapa final'!$N$37="Menor"),CONCATENATE("R",'Mapa final'!$A$37),"")</f>
        <v/>
      </c>
      <c r="U8" s="262"/>
      <c r="V8" s="259" t="str">
        <f ca="1">IF(AND('Mapa final'!$J$25="Muy Alta",'Mapa final'!$N$25="Moderado"),CONCATENATE("R",'Mapa final'!$A$25),"")</f>
        <v/>
      </c>
      <c r="W8" s="260"/>
      <c r="X8" s="261" t="str">
        <f ca="1">IF(AND('Mapa final'!$J$31="Muy Alta",'Mapa final'!$N$31="Moderado"),CONCATENATE("R",'Mapa final'!$A$31),"")</f>
        <v/>
      </c>
      <c r="Y8" s="261"/>
      <c r="Z8" s="261" t="str">
        <f ca="1">IF(AND('Mapa final'!$J$37="Muy Alta",'Mapa final'!$N$37="Moderado"),CONCATENATE("R",'Mapa final'!$A$37),"")</f>
        <v/>
      </c>
      <c r="AA8" s="262"/>
      <c r="AB8" s="259" t="str">
        <f ca="1">IF(AND('Mapa final'!$J$25="Muy Alta",'Mapa final'!$N$25="Mayor"),CONCATENATE("R",'Mapa final'!$A$25),"")</f>
        <v/>
      </c>
      <c r="AC8" s="260"/>
      <c r="AD8" s="261" t="str">
        <f ca="1">IF(AND('Mapa final'!$J$31="Muy Alta",'Mapa final'!$N$31="Mayor"),CONCATENATE("R",'Mapa final'!$A$31),"")</f>
        <v/>
      </c>
      <c r="AE8" s="261"/>
      <c r="AF8" s="261" t="str">
        <f ca="1">IF(AND('Mapa final'!$J$37="Muy Alta",'Mapa final'!$N$37="Mayor"),CONCATENATE("R",'Mapa final'!$A$37),"")</f>
        <v/>
      </c>
      <c r="AG8" s="262"/>
      <c r="AH8" s="250" t="str">
        <f ca="1">IF(AND('Mapa final'!$J$25="Muy Alta",'Mapa final'!$N$25="Catastrófico"),CONCATENATE("R",'Mapa final'!$A$25),"")</f>
        <v/>
      </c>
      <c r="AI8" s="251"/>
      <c r="AJ8" s="251" t="str">
        <f ca="1">IF(AND('Mapa final'!$J$31="Muy Alta",'Mapa final'!$N$31="Catastrófico"),CONCATENATE("R",'Mapa final'!$A$31),"")</f>
        <v/>
      </c>
      <c r="AK8" s="251"/>
      <c r="AL8" s="251" t="str">
        <f ca="1">IF(AND('Mapa final'!$J$37="Muy Alta",'Mapa final'!$N$37="Catastrófico"),CONCATENATE("R",'Mapa final'!$A$37),"")</f>
        <v/>
      </c>
      <c r="AM8" s="252"/>
      <c r="AN8" s="70"/>
      <c r="AO8" s="286"/>
      <c r="AP8" s="287"/>
      <c r="AQ8" s="287"/>
      <c r="AR8" s="287"/>
      <c r="AS8" s="287"/>
      <c r="AT8" s="288"/>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81"/>
      <c r="C9" s="281"/>
      <c r="D9" s="282"/>
      <c r="E9" s="273"/>
      <c r="F9" s="274"/>
      <c r="G9" s="274"/>
      <c r="H9" s="274"/>
      <c r="I9" s="275"/>
      <c r="J9" s="259"/>
      <c r="K9" s="260"/>
      <c r="L9" s="261"/>
      <c r="M9" s="261"/>
      <c r="N9" s="261"/>
      <c r="O9" s="262"/>
      <c r="P9" s="259"/>
      <c r="Q9" s="260"/>
      <c r="R9" s="261"/>
      <c r="S9" s="261"/>
      <c r="T9" s="261"/>
      <c r="U9" s="262"/>
      <c r="V9" s="259"/>
      <c r="W9" s="260"/>
      <c r="X9" s="261"/>
      <c r="Y9" s="261"/>
      <c r="Z9" s="261"/>
      <c r="AA9" s="262"/>
      <c r="AB9" s="259"/>
      <c r="AC9" s="260"/>
      <c r="AD9" s="261"/>
      <c r="AE9" s="261"/>
      <c r="AF9" s="261"/>
      <c r="AG9" s="262"/>
      <c r="AH9" s="250"/>
      <c r="AI9" s="251"/>
      <c r="AJ9" s="251"/>
      <c r="AK9" s="251"/>
      <c r="AL9" s="251"/>
      <c r="AM9" s="252"/>
      <c r="AN9" s="70"/>
      <c r="AO9" s="286"/>
      <c r="AP9" s="287"/>
      <c r="AQ9" s="287"/>
      <c r="AR9" s="287"/>
      <c r="AS9" s="287"/>
      <c r="AT9" s="288"/>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81"/>
      <c r="C10" s="281"/>
      <c r="D10" s="282"/>
      <c r="E10" s="273"/>
      <c r="F10" s="274"/>
      <c r="G10" s="274"/>
      <c r="H10" s="274"/>
      <c r="I10" s="275"/>
      <c r="J10" s="259" t="str">
        <f ca="1">IF(AND('Mapa final'!$J$43="Muy Alta",'Mapa final'!$N$43="Leve"),CONCATENATE("R",'Mapa final'!$A$43),"")</f>
        <v/>
      </c>
      <c r="K10" s="260"/>
      <c r="L10" s="261" t="str">
        <f ca="1">IF(AND('Mapa final'!$J$49="Muy Alta",'Mapa final'!$N$49="Leve"),CONCATENATE("R",'Mapa final'!$A$49),"")</f>
        <v/>
      </c>
      <c r="M10" s="261"/>
      <c r="N10" s="261" t="str">
        <f ca="1">IF(AND('Mapa final'!$J$55="Muy Alta",'Mapa final'!$N$55="Leve"),CONCATENATE("R",'Mapa final'!$A$55),"")</f>
        <v/>
      </c>
      <c r="O10" s="262"/>
      <c r="P10" s="259" t="str">
        <f ca="1">IF(AND('Mapa final'!$J$43="Muy Alta",'Mapa final'!$N$43="Menor"),CONCATENATE("R",'Mapa final'!$A$43),"")</f>
        <v/>
      </c>
      <c r="Q10" s="260"/>
      <c r="R10" s="261" t="str">
        <f ca="1">IF(AND('Mapa final'!$J$49="Muy Alta",'Mapa final'!$N$49="Menor"),CONCATENATE("R",'Mapa final'!$A$49),"")</f>
        <v/>
      </c>
      <c r="S10" s="261"/>
      <c r="T10" s="261" t="str">
        <f ca="1">IF(AND('Mapa final'!$J$55="Muy Alta",'Mapa final'!$N$55="Menor"),CONCATENATE("R",'Mapa final'!$A$55),"")</f>
        <v/>
      </c>
      <c r="U10" s="262"/>
      <c r="V10" s="259" t="str">
        <f ca="1">IF(AND('Mapa final'!$J$43="Muy Alta",'Mapa final'!$N$43="Moderado"),CONCATENATE("R",'Mapa final'!$A$43),"")</f>
        <v/>
      </c>
      <c r="W10" s="260"/>
      <c r="X10" s="261" t="str">
        <f ca="1">IF(AND('Mapa final'!$J$49="Muy Alta",'Mapa final'!$N$49="Moderado"),CONCATENATE("R",'Mapa final'!$A$49),"")</f>
        <v/>
      </c>
      <c r="Y10" s="261"/>
      <c r="Z10" s="261" t="str">
        <f ca="1">IF(AND('Mapa final'!$J$55="Muy Alta",'Mapa final'!$N$55="Moderado"),CONCATENATE("R",'Mapa final'!$A$55),"")</f>
        <v/>
      </c>
      <c r="AA10" s="262"/>
      <c r="AB10" s="259" t="str">
        <f ca="1">IF(AND('Mapa final'!$J$43="Muy Alta",'Mapa final'!$N$43="Mayor"),CONCATENATE("R",'Mapa final'!$A$43),"")</f>
        <v/>
      </c>
      <c r="AC10" s="260"/>
      <c r="AD10" s="261" t="str">
        <f ca="1">IF(AND('Mapa final'!$J$49="Muy Alta",'Mapa final'!$N$49="Mayor"),CONCATENATE("R",'Mapa final'!$A$49),"")</f>
        <v/>
      </c>
      <c r="AE10" s="261"/>
      <c r="AF10" s="261" t="str">
        <f ca="1">IF(AND('Mapa final'!$J$55="Muy Alta",'Mapa final'!$N$55="Mayor"),CONCATENATE("R",'Mapa final'!$A$55),"")</f>
        <v/>
      </c>
      <c r="AG10" s="262"/>
      <c r="AH10" s="250" t="str">
        <f ca="1">IF(AND('Mapa final'!$J$43="Muy Alta",'Mapa final'!$N$43="Catastrófico"),CONCATENATE("R",'Mapa final'!$A$43),"")</f>
        <v/>
      </c>
      <c r="AI10" s="251"/>
      <c r="AJ10" s="251" t="str">
        <f ca="1">IF(AND('Mapa final'!$J$49="Muy Alta",'Mapa final'!$N$49="Catastrófico"),CONCATENATE("R",'Mapa final'!$A$49),"")</f>
        <v/>
      </c>
      <c r="AK10" s="251"/>
      <c r="AL10" s="251" t="str">
        <f ca="1">IF(AND('Mapa final'!$J$55="Muy Alta",'Mapa final'!$N$55="Catastrófico"),CONCATENATE("R",'Mapa final'!$A$55),"")</f>
        <v/>
      </c>
      <c r="AM10" s="252"/>
      <c r="AN10" s="70"/>
      <c r="AO10" s="286"/>
      <c r="AP10" s="287"/>
      <c r="AQ10" s="287"/>
      <c r="AR10" s="287"/>
      <c r="AS10" s="287"/>
      <c r="AT10" s="288"/>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81"/>
      <c r="C11" s="281"/>
      <c r="D11" s="282"/>
      <c r="E11" s="273"/>
      <c r="F11" s="274"/>
      <c r="G11" s="274"/>
      <c r="H11" s="274"/>
      <c r="I11" s="275"/>
      <c r="J11" s="259"/>
      <c r="K11" s="260"/>
      <c r="L11" s="261"/>
      <c r="M11" s="261"/>
      <c r="N11" s="261"/>
      <c r="O11" s="262"/>
      <c r="P11" s="259"/>
      <c r="Q11" s="260"/>
      <c r="R11" s="261"/>
      <c r="S11" s="261"/>
      <c r="T11" s="261"/>
      <c r="U11" s="262"/>
      <c r="V11" s="259"/>
      <c r="W11" s="260"/>
      <c r="X11" s="261"/>
      <c r="Y11" s="261"/>
      <c r="Z11" s="261"/>
      <c r="AA11" s="262"/>
      <c r="AB11" s="259"/>
      <c r="AC11" s="260"/>
      <c r="AD11" s="261"/>
      <c r="AE11" s="261"/>
      <c r="AF11" s="261"/>
      <c r="AG11" s="262"/>
      <c r="AH11" s="250"/>
      <c r="AI11" s="251"/>
      <c r="AJ11" s="251"/>
      <c r="AK11" s="251"/>
      <c r="AL11" s="251"/>
      <c r="AM11" s="252"/>
      <c r="AN11" s="70"/>
      <c r="AO11" s="286"/>
      <c r="AP11" s="287"/>
      <c r="AQ11" s="287"/>
      <c r="AR11" s="287"/>
      <c r="AS11" s="287"/>
      <c r="AT11" s="288"/>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81"/>
      <c r="C12" s="281"/>
      <c r="D12" s="282"/>
      <c r="E12" s="273"/>
      <c r="F12" s="274"/>
      <c r="G12" s="274"/>
      <c r="H12" s="274"/>
      <c r="I12" s="275"/>
      <c r="J12" s="259" t="str">
        <f ca="1">IF(AND('Mapa final'!$J$61="Muy Alta",'Mapa final'!$N$61="Leve"),CONCATENATE("R",'Mapa final'!$A$61),"")</f>
        <v/>
      </c>
      <c r="K12" s="260"/>
      <c r="L12" s="261" t="str">
        <f>IF(AND('Mapa final'!$J$68="Muy Alta",'Mapa final'!$N$68="Leve"),CONCATENATE("R",'Mapa final'!$A$68),"")</f>
        <v/>
      </c>
      <c r="M12" s="261"/>
      <c r="N12" s="261" t="str">
        <f>IF(AND('Mapa final'!$J$74="Muy Alta",'Mapa final'!$N$74="Leve"),CONCATENATE("R",'Mapa final'!$A$74),"")</f>
        <v/>
      </c>
      <c r="O12" s="262"/>
      <c r="P12" s="259" t="str">
        <f ca="1">IF(AND('Mapa final'!$J$61="Muy Alta",'Mapa final'!$N$61="Menor"),CONCATENATE("R",'Mapa final'!$A$61),"")</f>
        <v/>
      </c>
      <c r="Q12" s="260"/>
      <c r="R12" s="261" t="str">
        <f>IF(AND('Mapa final'!$J$68="Muy Alta",'Mapa final'!$N$68="Menor"),CONCATENATE("R",'Mapa final'!$A$68),"")</f>
        <v/>
      </c>
      <c r="S12" s="261"/>
      <c r="T12" s="261" t="str">
        <f>IF(AND('Mapa final'!$J$74="Muy Alta",'Mapa final'!$N$74="Menor"),CONCATENATE("R",'Mapa final'!$A$74),"")</f>
        <v/>
      </c>
      <c r="U12" s="262"/>
      <c r="V12" s="259" t="str">
        <f ca="1">IF(AND('Mapa final'!$J$61="Muy Alta",'Mapa final'!$N$61="Moderado"),CONCATENATE("R",'Mapa final'!$A$61),"")</f>
        <v/>
      </c>
      <c r="W12" s="260"/>
      <c r="X12" s="261" t="str">
        <f>IF(AND('Mapa final'!$J$68="Muy Alta",'Mapa final'!$N$68="Moderado"),CONCATENATE("R",'Mapa final'!$A$68),"")</f>
        <v/>
      </c>
      <c r="Y12" s="261"/>
      <c r="Z12" s="261" t="str">
        <f>IF(AND('Mapa final'!$J$74="Muy Alta",'Mapa final'!$N$74="Moderado"),CONCATENATE("R",'Mapa final'!$A$74),"")</f>
        <v/>
      </c>
      <c r="AA12" s="262"/>
      <c r="AB12" s="259" t="str">
        <f ca="1">IF(AND('Mapa final'!$J$61="Muy Alta",'Mapa final'!$N$61="Mayor"),CONCATENATE("R",'Mapa final'!$A$61),"")</f>
        <v/>
      </c>
      <c r="AC12" s="260"/>
      <c r="AD12" s="261" t="str">
        <f>IF(AND('Mapa final'!$J$68="Muy Alta",'Mapa final'!$N$68="Mayor"),CONCATENATE("R",'Mapa final'!$A$68),"")</f>
        <v/>
      </c>
      <c r="AE12" s="261"/>
      <c r="AF12" s="261" t="str">
        <f>IF(AND('Mapa final'!$J$74="Muy Alta",'Mapa final'!$N$74="Mayor"),CONCATENATE("R",'Mapa final'!$A$74),"")</f>
        <v/>
      </c>
      <c r="AG12" s="262"/>
      <c r="AH12" s="250" t="str">
        <f ca="1">IF(AND('Mapa final'!$J$61="Muy Alta",'Mapa final'!$N$61="Catastrófico"),CONCATENATE("R",'Mapa final'!$A$61),"")</f>
        <v/>
      </c>
      <c r="AI12" s="251"/>
      <c r="AJ12" s="251" t="str">
        <f>IF(AND('Mapa final'!$J$68="Muy Alta",'Mapa final'!$N$68="Catastrófico"),CONCATENATE("R",'Mapa final'!$A$68),"")</f>
        <v/>
      </c>
      <c r="AK12" s="251"/>
      <c r="AL12" s="251" t="str">
        <f>IF(AND('Mapa final'!$J$74="Muy Alta",'Mapa final'!$N$74="Catastrófico"),CONCATENATE("R",'Mapa final'!$A$74),"")</f>
        <v/>
      </c>
      <c r="AM12" s="252"/>
      <c r="AN12" s="70"/>
      <c r="AO12" s="286"/>
      <c r="AP12" s="287"/>
      <c r="AQ12" s="287"/>
      <c r="AR12" s="287"/>
      <c r="AS12" s="287"/>
      <c r="AT12" s="288"/>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81"/>
      <c r="C13" s="281"/>
      <c r="D13" s="282"/>
      <c r="E13" s="276"/>
      <c r="F13" s="277"/>
      <c r="G13" s="277"/>
      <c r="H13" s="277"/>
      <c r="I13" s="278"/>
      <c r="J13" s="259"/>
      <c r="K13" s="260"/>
      <c r="L13" s="260"/>
      <c r="M13" s="260"/>
      <c r="N13" s="260"/>
      <c r="O13" s="262"/>
      <c r="P13" s="259"/>
      <c r="Q13" s="260"/>
      <c r="R13" s="260"/>
      <c r="S13" s="260"/>
      <c r="T13" s="260"/>
      <c r="U13" s="262"/>
      <c r="V13" s="259"/>
      <c r="W13" s="260"/>
      <c r="X13" s="260"/>
      <c r="Y13" s="260"/>
      <c r="Z13" s="260"/>
      <c r="AA13" s="262"/>
      <c r="AB13" s="259"/>
      <c r="AC13" s="260"/>
      <c r="AD13" s="260"/>
      <c r="AE13" s="260"/>
      <c r="AF13" s="260"/>
      <c r="AG13" s="262"/>
      <c r="AH13" s="253"/>
      <c r="AI13" s="254"/>
      <c r="AJ13" s="254"/>
      <c r="AK13" s="254"/>
      <c r="AL13" s="254"/>
      <c r="AM13" s="255"/>
      <c r="AN13" s="70"/>
      <c r="AO13" s="289"/>
      <c r="AP13" s="290"/>
      <c r="AQ13" s="290"/>
      <c r="AR13" s="290"/>
      <c r="AS13" s="290"/>
      <c r="AT13" s="291"/>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81"/>
      <c r="C14" s="281"/>
      <c r="D14" s="282"/>
      <c r="E14" s="270" t="s">
        <v>111</v>
      </c>
      <c r="F14" s="271"/>
      <c r="G14" s="271"/>
      <c r="H14" s="271"/>
      <c r="I14" s="271"/>
      <c r="J14" s="247" t="str">
        <f>IF(AND('Mapa final'!$J$7="Alta",'Mapa final'!$N$7="Leve"),CONCATENATE("R",'Mapa final'!$A$7),"")</f>
        <v/>
      </c>
      <c r="K14" s="248"/>
      <c r="L14" s="248" t="str">
        <f ca="1">IF(AND('Mapa final'!$J$13="Alta",'Mapa final'!$N$13="Leve"),CONCATENATE("R",'Mapa final'!$A$13),"")</f>
        <v/>
      </c>
      <c r="M14" s="248"/>
      <c r="N14" s="248" t="str">
        <f ca="1">IF(AND('Mapa final'!$J$19="Alta",'Mapa final'!$N$19="Leve"),CONCATENATE("R",'Mapa final'!$A$19),"")</f>
        <v/>
      </c>
      <c r="O14" s="249"/>
      <c r="P14" s="247" t="str">
        <f>IF(AND('Mapa final'!$J$7="Alta",'Mapa final'!$N$7="Menor"),CONCATENATE("R",'Mapa final'!$A$7),"")</f>
        <v/>
      </c>
      <c r="Q14" s="248"/>
      <c r="R14" s="248" t="str">
        <f ca="1">IF(AND('Mapa final'!$J$13="Alta",'Mapa final'!$N$13="Menor"),CONCATENATE("R",'Mapa final'!$A$13),"")</f>
        <v/>
      </c>
      <c r="S14" s="248"/>
      <c r="T14" s="248" t="str">
        <f ca="1">IF(AND('Mapa final'!$J$19="Alta",'Mapa final'!$N$19="Menor"),CONCATENATE("R",'Mapa final'!$A$19),"")</f>
        <v/>
      </c>
      <c r="U14" s="249"/>
      <c r="V14" s="266" t="str">
        <f>IF(AND('Mapa final'!$J$7="Alta",'Mapa final'!$N$7="Moderado"),CONCATENATE("R",'Mapa final'!$A$7),"")</f>
        <v/>
      </c>
      <c r="W14" s="267"/>
      <c r="X14" s="267" t="str">
        <f ca="1">IF(AND('Mapa final'!$J$13="Alta",'Mapa final'!$N$13="Moderado"),CONCATENATE("R",'Mapa final'!$A$13),"")</f>
        <v/>
      </c>
      <c r="Y14" s="267"/>
      <c r="Z14" s="267" t="str">
        <f ca="1">IF(AND('Mapa final'!$J$19="Alta",'Mapa final'!$N$19="Moderado"),CONCATENATE("R",'Mapa final'!$A$19),"")</f>
        <v/>
      </c>
      <c r="AA14" s="268"/>
      <c r="AB14" s="266" t="str">
        <f>IF(AND('Mapa final'!$J$7="Alta",'Mapa final'!$N$7="Mayor"),CONCATENATE("R",'Mapa final'!$A$7),"")</f>
        <v/>
      </c>
      <c r="AC14" s="267"/>
      <c r="AD14" s="267" t="str">
        <f ca="1">IF(AND('Mapa final'!$J$13="Alta",'Mapa final'!$N$13="Mayor"),CONCATENATE("R",'Mapa final'!$A$13),"")</f>
        <v/>
      </c>
      <c r="AE14" s="267"/>
      <c r="AF14" s="267" t="str">
        <f ca="1">IF(AND('Mapa final'!$J$19="Alta",'Mapa final'!$N$19="Mayor"),CONCATENATE("R",'Mapa final'!$A$19),"")</f>
        <v/>
      </c>
      <c r="AG14" s="268"/>
      <c r="AH14" s="256" t="str">
        <f>IF(AND('Mapa final'!$J$7="Alta",'Mapa final'!$N$7="Catastrófico"),CONCATENATE("R",'Mapa final'!$A$7),"")</f>
        <v/>
      </c>
      <c r="AI14" s="257"/>
      <c r="AJ14" s="257" t="str">
        <f ca="1">IF(AND('Mapa final'!$J$13="Alta",'Mapa final'!$N$13="Catastrófico"),CONCATENATE("R",'Mapa final'!$A$13),"")</f>
        <v/>
      </c>
      <c r="AK14" s="257"/>
      <c r="AL14" s="257" t="str">
        <f ca="1">IF(AND('Mapa final'!$J$19="Alta",'Mapa final'!$N$19="Catastrófico"),CONCATENATE("R",'Mapa final'!$A$19),"")</f>
        <v/>
      </c>
      <c r="AM14" s="258"/>
      <c r="AN14" s="70"/>
      <c r="AO14" s="292" t="s">
        <v>76</v>
      </c>
      <c r="AP14" s="293"/>
      <c r="AQ14" s="293"/>
      <c r="AR14" s="293"/>
      <c r="AS14" s="293"/>
      <c r="AT14" s="294"/>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81"/>
      <c r="C15" s="281"/>
      <c r="D15" s="282"/>
      <c r="E15" s="273"/>
      <c r="F15" s="274"/>
      <c r="G15" s="274"/>
      <c r="H15" s="274"/>
      <c r="I15" s="279"/>
      <c r="J15" s="241"/>
      <c r="K15" s="242"/>
      <c r="L15" s="242"/>
      <c r="M15" s="242"/>
      <c r="N15" s="242"/>
      <c r="O15" s="243"/>
      <c r="P15" s="241"/>
      <c r="Q15" s="242"/>
      <c r="R15" s="242"/>
      <c r="S15" s="242"/>
      <c r="T15" s="242"/>
      <c r="U15" s="243"/>
      <c r="V15" s="259"/>
      <c r="W15" s="260"/>
      <c r="X15" s="260"/>
      <c r="Y15" s="260"/>
      <c r="Z15" s="260"/>
      <c r="AA15" s="262"/>
      <c r="AB15" s="259"/>
      <c r="AC15" s="260"/>
      <c r="AD15" s="260"/>
      <c r="AE15" s="260"/>
      <c r="AF15" s="260"/>
      <c r="AG15" s="262"/>
      <c r="AH15" s="250"/>
      <c r="AI15" s="251"/>
      <c r="AJ15" s="251"/>
      <c r="AK15" s="251"/>
      <c r="AL15" s="251"/>
      <c r="AM15" s="252"/>
      <c r="AN15" s="70"/>
      <c r="AO15" s="295"/>
      <c r="AP15" s="296"/>
      <c r="AQ15" s="296"/>
      <c r="AR15" s="296"/>
      <c r="AS15" s="296"/>
      <c r="AT15" s="297"/>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81"/>
      <c r="C16" s="281"/>
      <c r="D16" s="282"/>
      <c r="E16" s="273"/>
      <c r="F16" s="274"/>
      <c r="G16" s="274"/>
      <c r="H16" s="274"/>
      <c r="I16" s="279"/>
      <c r="J16" s="241" t="str">
        <f ca="1">IF(AND('Mapa final'!$J$25="Alta",'Mapa final'!$N$25="Leve"),CONCATENATE("R",'Mapa final'!$A$25),"")</f>
        <v/>
      </c>
      <c r="K16" s="242"/>
      <c r="L16" s="242" t="str">
        <f ca="1">IF(AND('Mapa final'!$J$31="Alta",'Mapa final'!$N$31="Leve"),CONCATENATE("R",'Mapa final'!$A$31),"")</f>
        <v/>
      </c>
      <c r="M16" s="242"/>
      <c r="N16" s="242" t="str">
        <f ca="1">IF(AND('Mapa final'!$J$37="Alta",'Mapa final'!$N$37="Leve"),CONCATENATE("R",'Mapa final'!$A$37),"")</f>
        <v/>
      </c>
      <c r="O16" s="243"/>
      <c r="P16" s="241" t="str">
        <f ca="1">IF(AND('Mapa final'!$J$25="Alta",'Mapa final'!$N$25="Menor"),CONCATENATE("R",'Mapa final'!$A$25),"")</f>
        <v/>
      </c>
      <c r="Q16" s="242"/>
      <c r="R16" s="242" t="str">
        <f ca="1">IF(AND('Mapa final'!$J$31="Alta",'Mapa final'!$N$31="Menor"),CONCATENATE("R",'Mapa final'!$A$31),"")</f>
        <v/>
      </c>
      <c r="S16" s="242"/>
      <c r="T16" s="242" t="str">
        <f ca="1">IF(AND('Mapa final'!$J$37="Alta",'Mapa final'!$N$37="Menor"),CONCATENATE("R",'Mapa final'!$A$37),"")</f>
        <v/>
      </c>
      <c r="U16" s="243"/>
      <c r="V16" s="259" t="str">
        <f ca="1">IF(AND('Mapa final'!$J$25="Alta",'Mapa final'!$N$25="Moderado"),CONCATENATE("R",'Mapa final'!$A$25),"")</f>
        <v/>
      </c>
      <c r="W16" s="260"/>
      <c r="X16" s="261" t="str">
        <f ca="1">IF(AND('Mapa final'!$J$31="Alta",'Mapa final'!$N$31="Moderado"),CONCATENATE("R",'Mapa final'!$A$31),"")</f>
        <v/>
      </c>
      <c r="Y16" s="261"/>
      <c r="Z16" s="261" t="str">
        <f ca="1">IF(AND('Mapa final'!$J$37="Alta",'Mapa final'!$N$37="Moderado"),CONCATENATE("R",'Mapa final'!$A$37),"")</f>
        <v/>
      </c>
      <c r="AA16" s="262"/>
      <c r="AB16" s="259" t="str">
        <f ca="1">IF(AND('Mapa final'!$J$25="Alta",'Mapa final'!$N$25="Mayor"),CONCATENATE("R",'Mapa final'!$A$25),"")</f>
        <v/>
      </c>
      <c r="AC16" s="260"/>
      <c r="AD16" s="261" t="str">
        <f ca="1">IF(AND('Mapa final'!$J$31="Alta",'Mapa final'!$N$31="Mayor"),CONCATENATE("R",'Mapa final'!$A$31),"")</f>
        <v/>
      </c>
      <c r="AE16" s="261"/>
      <c r="AF16" s="261" t="str">
        <f ca="1">IF(AND('Mapa final'!$J$37="Alta",'Mapa final'!$N$37="Mayor"),CONCATENATE("R",'Mapa final'!$A$37),"")</f>
        <v/>
      </c>
      <c r="AG16" s="262"/>
      <c r="AH16" s="250" t="str">
        <f ca="1">IF(AND('Mapa final'!$J$25="Alta",'Mapa final'!$N$25="Catastrófico"),CONCATENATE("R",'Mapa final'!$A$25),"")</f>
        <v/>
      </c>
      <c r="AI16" s="251"/>
      <c r="AJ16" s="251" t="str">
        <f ca="1">IF(AND('Mapa final'!$J$31="Alta",'Mapa final'!$N$31="Catastrófico"),CONCATENATE("R",'Mapa final'!$A$31),"")</f>
        <v/>
      </c>
      <c r="AK16" s="251"/>
      <c r="AL16" s="251" t="str">
        <f ca="1">IF(AND('Mapa final'!$J$37="Alta",'Mapa final'!$N$37="Catastrófico"),CONCATENATE("R",'Mapa final'!$A$37),"")</f>
        <v/>
      </c>
      <c r="AM16" s="252"/>
      <c r="AN16" s="70"/>
      <c r="AO16" s="295"/>
      <c r="AP16" s="296"/>
      <c r="AQ16" s="296"/>
      <c r="AR16" s="296"/>
      <c r="AS16" s="296"/>
      <c r="AT16" s="297"/>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81"/>
      <c r="C17" s="281"/>
      <c r="D17" s="282"/>
      <c r="E17" s="273"/>
      <c r="F17" s="274"/>
      <c r="G17" s="274"/>
      <c r="H17" s="274"/>
      <c r="I17" s="279"/>
      <c r="J17" s="241"/>
      <c r="K17" s="242"/>
      <c r="L17" s="242"/>
      <c r="M17" s="242"/>
      <c r="N17" s="242"/>
      <c r="O17" s="243"/>
      <c r="P17" s="241"/>
      <c r="Q17" s="242"/>
      <c r="R17" s="242"/>
      <c r="S17" s="242"/>
      <c r="T17" s="242"/>
      <c r="U17" s="243"/>
      <c r="V17" s="259"/>
      <c r="W17" s="260"/>
      <c r="X17" s="261"/>
      <c r="Y17" s="261"/>
      <c r="Z17" s="261"/>
      <c r="AA17" s="262"/>
      <c r="AB17" s="259"/>
      <c r="AC17" s="260"/>
      <c r="AD17" s="261"/>
      <c r="AE17" s="261"/>
      <c r="AF17" s="261"/>
      <c r="AG17" s="262"/>
      <c r="AH17" s="250"/>
      <c r="AI17" s="251"/>
      <c r="AJ17" s="251"/>
      <c r="AK17" s="251"/>
      <c r="AL17" s="251"/>
      <c r="AM17" s="252"/>
      <c r="AN17" s="70"/>
      <c r="AO17" s="295"/>
      <c r="AP17" s="296"/>
      <c r="AQ17" s="296"/>
      <c r="AR17" s="296"/>
      <c r="AS17" s="296"/>
      <c r="AT17" s="297"/>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81"/>
      <c r="C18" s="281"/>
      <c r="D18" s="282"/>
      <c r="E18" s="273"/>
      <c r="F18" s="274"/>
      <c r="G18" s="274"/>
      <c r="H18" s="274"/>
      <c r="I18" s="279"/>
      <c r="J18" s="241" t="str">
        <f ca="1">IF(AND('Mapa final'!$J$43="Alta",'Mapa final'!$N$43="Leve"),CONCATENATE("R",'Mapa final'!$A$43),"")</f>
        <v/>
      </c>
      <c r="K18" s="242"/>
      <c r="L18" s="242" t="str">
        <f ca="1">IF(AND('Mapa final'!$J$49="Alta",'Mapa final'!$N$49="Leve"),CONCATENATE("R",'Mapa final'!$A$49),"")</f>
        <v/>
      </c>
      <c r="M18" s="242"/>
      <c r="N18" s="242" t="str">
        <f ca="1">IF(AND('Mapa final'!$J$55="Alta",'Mapa final'!$N$55="Leve"),CONCATENATE("R",'Mapa final'!$A$55),"")</f>
        <v/>
      </c>
      <c r="O18" s="243"/>
      <c r="P18" s="241" t="str">
        <f ca="1">IF(AND('Mapa final'!$J$43="Alta",'Mapa final'!$N$43="Menor"),CONCATENATE("R",'Mapa final'!$A$43),"")</f>
        <v/>
      </c>
      <c r="Q18" s="242"/>
      <c r="R18" s="242" t="str">
        <f ca="1">IF(AND('Mapa final'!$J$49="Alta",'Mapa final'!$N$49="Menor"),CONCATENATE("R",'Mapa final'!$A$49),"")</f>
        <v/>
      </c>
      <c r="S18" s="242"/>
      <c r="T18" s="242" t="str">
        <f ca="1">IF(AND('Mapa final'!$J$55="Alta",'Mapa final'!$N$55="Menor"),CONCATENATE("R",'Mapa final'!$A$55),"")</f>
        <v/>
      </c>
      <c r="U18" s="243"/>
      <c r="V18" s="259" t="str">
        <f ca="1">IF(AND('Mapa final'!$J$43="Alta",'Mapa final'!$N$43="Moderado"),CONCATENATE("R",'Mapa final'!$A$43),"")</f>
        <v/>
      </c>
      <c r="W18" s="260"/>
      <c r="X18" s="261" t="str">
        <f ca="1">IF(AND('Mapa final'!$J$49="Alta",'Mapa final'!$N$49="Moderado"),CONCATENATE("R",'Mapa final'!$A$49),"")</f>
        <v/>
      </c>
      <c r="Y18" s="261"/>
      <c r="Z18" s="261" t="str">
        <f ca="1">IF(AND('Mapa final'!$J$55="Alta",'Mapa final'!$N$55="Moderado"),CONCATENATE("R",'Mapa final'!$A$55),"")</f>
        <v/>
      </c>
      <c r="AA18" s="262"/>
      <c r="AB18" s="259" t="str">
        <f ca="1">IF(AND('Mapa final'!$J$43="Alta",'Mapa final'!$N$43="Mayor"),CONCATENATE("R",'Mapa final'!$A$43),"")</f>
        <v/>
      </c>
      <c r="AC18" s="260"/>
      <c r="AD18" s="261" t="str">
        <f ca="1">IF(AND('Mapa final'!$J$49="Alta",'Mapa final'!$N$49="Mayor"),CONCATENATE("R",'Mapa final'!$A$49),"")</f>
        <v/>
      </c>
      <c r="AE18" s="261"/>
      <c r="AF18" s="261" t="str">
        <f ca="1">IF(AND('Mapa final'!$J$55="Alta",'Mapa final'!$N$55="Mayor"),CONCATENATE("R",'Mapa final'!$A$55),"")</f>
        <v/>
      </c>
      <c r="AG18" s="262"/>
      <c r="AH18" s="250" t="str">
        <f ca="1">IF(AND('Mapa final'!$J$43="Alta",'Mapa final'!$N$43="Catastrófico"),CONCATENATE("R",'Mapa final'!$A$43),"")</f>
        <v/>
      </c>
      <c r="AI18" s="251"/>
      <c r="AJ18" s="251" t="str">
        <f ca="1">IF(AND('Mapa final'!$J$49="Alta",'Mapa final'!$N$49="Catastrófico"),CONCATENATE("R",'Mapa final'!$A$49),"")</f>
        <v/>
      </c>
      <c r="AK18" s="251"/>
      <c r="AL18" s="251" t="str">
        <f ca="1">IF(AND('Mapa final'!$J$55="Alta",'Mapa final'!$N$55="Catastrófico"),CONCATENATE("R",'Mapa final'!$A$55),"")</f>
        <v/>
      </c>
      <c r="AM18" s="252"/>
      <c r="AN18" s="70"/>
      <c r="AO18" s="295"/>
      <c r="AP18" s="296"/>
      <c r="AQ18" s="296"/>
      <c r="AR18" s="296"/>
      <c r="AS18" s="296"/>
      <c r="AT18" s="297"/>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81"/>
      <c r="C19" s="281"/>
      <c r="D19" s="282"/>
      <c r="E19" s="273"/>
      <c r="F19" s="274"/>
      <c r="G19" s="274"/>
      <c r="H19" s="274"/>
      <c r="I19" s="279"/>
      <c r="J19" s="241"/>
      <c r="K19" s="242"/>
      <c r="L19" s="242"/>
      <c r="M19" s="242"/>
      <c r="N19" s="242"/>
      <c r="O19" s="243"/>
      <c r="P19" s="241"/>
      <c r="Q19" s="242"/>
      <c r="R19" s="242"/>
      <c r="S19" s="242"/>
      <c r="T19" s="242"/>
      <c r="U19" s="243"/>
      <c r="V19" s="259"/>
      <c r="W19" s="260"/>
      <c r="X19" s="261"/>
      <c r="Y19" s="261"/>
      <c r="Z19" s="261"/>
      <c r="AA19" s="262"/>
      <c r="AB19" s="259"/>
      <c r="AC19" s="260"/>
      <c r="AD19" s="261"/>
      <c r="AE19" s="261"/>
      <c r="AF19" s="261"/>
      <c r="AG19" s="262"/>
      <c r="AH19" s="250"/>
      <c r="AI19" s="251"/>
      <c r="AJ19" s="251"/>
      <c r="AK19" s="251"/>
      <c r="AL19" s="251"/>
      <c r="AM19" s="252"/>
      <c r="AN19" s="70"/>
      <c r="AO19" s="295"/>
      <c r="AP19" s="296"/>
      <c r="AQ19" s="296"/>
      <c r="AR19" s="296"/>
      <c r="AS19" s="296"/>
      <c r="AT19" s="297"/>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81"/>
      <c r="C20" s="281"/>
      <c r="D20" s="282"/>
      <c r="E20" s="273"/>
      <c r="F20" s="274"/>
      <c r="G20" s="274"/>
      <c r="H20" s="274"/>
      <c r="I20" s="279"/>
      <c r="J20" s="241" t="str">
        <f ca="1">IF(AND('Mapa final'!$J$61="Alta",'Mapa final'!$N$61="Leve"),CONCATENATE("R",'Mapa final'!$A$61),"")</f>
        <v/>
      </c>
      <c r="K20" s="242"/>
      <c r="L20" s="242" t="str">
        <f>IF(AND('Mapa final'!$J$68="Alta",'Mapa final'!$N$68="Leve"),CONCATENATE("R",'Mapa final'!$A$68),"")</f>
        <v/>
      </c>
      <c r="M20" s="242"/>
      <c r="N20" s="242" t="str">
        <f>IF(AND('Mapa final'!$J$74="Alta",'Mapa final'!$N$74="Leve"),CONCATENATE("R",'Mapa final'!$A$74),"")</f>
        <v/>
      </c>
      <c r="O20" s="243"/>
      <c r="P20" s="241" t="str">
        <f ca="1">IF(AND('Mapa final'!$J$61="Alta",'Mapa final'!$N$61="Menor"),CONCATENATE("R",'Mapa final'!$A$61),"")</f>
        <v/>
      </c>
      <c r="Q20" s="242"/>
      <c r="R20" s="242" t="str">
        <f>IF(AND('Mapa final'!$J$68="Alta",'Mapa final'!$N$68="Menor"),CONCATENATE("R",'Mapa final'!$A$68),"")</f>
        <v/>
      </c>
      <c r="S20" s="242"/>
      <c r="T20" s="242" t="str">
        <f>IF(AND('Mapa final'!$J$74="Alta",'Mapa final'!$N$74="Menor"),CONCATENATE("R",'Mapa final'!$A$74),"")</f>
        <v/>
      </c>
      <c r="U20" s="243"/>
      <c r="V20" s="259" t="str">
        <f ca="1">IF(AND('Mapa final'!$J$61="Alta",'Mapa final'!$N$61="Moderado"),CONCATENATE("R",'Mapa final'!$A$61),"")</f>
        <v/>
      </c>
      <c r="W20" s="260"/>
      <c r="X20" s="261" t="str">
        <f>IF(AND('Mapa final'!$J$68="Alta",'Mapa final'!$N$68="Moderado"),CONCATENATE("R",'Mapa final'!$A$68),"")</f>
        <v/>
      </c>
      <c r="Y20" s="261"/>
      <c r="Z20" s="261" t="str">
        <f>IF(AND('Mapa final'!$J$74="Alta",'Mapa final'!$N$74="Moderado"),CONCATENATE("R",'Mapa final'!$A$74),"")</f>
        <v/>
      </c>
      <c r="AA20" s="262"/>
      <c r="AB20" s="259" t="str">
        <f ca="1">IF(AND('Mapa final'!$J$61="Alta",'Mapa final'!$N$61="Mayor"),CONCATENATE("R",'Mapa final'!$A$61),"")</f>
        <v/>
      </c>
      <c r="AC20" s="260"/>
      <c r="AD20" s="261" t="str">
        <f>IF(AND('Mapa final'!$J$68="Alta",'Mapa final'!$N$68="Mayor"),CONCATENATE("R",'Mapa final'!$A$68),"")</f>
        <v/>
      </c>
      <c r="AE20" s="261"/>
      <c r="AF20" s="261" t="str">
        <f>IF(AND('Mapa final'!$J$74="Alta",'Mapa final'!$N$74="Mayor"),CONCATENATE("R",'Mapa final'!$A$74),"")</f>
        <v/>
      </c>
      <c r="AG20" s="262"/>
      <c r="AH20" s="250" t="str">
        <f ca="1">IF(AND('Mapa final'!$J$61="Alta",'Mapa final'!$N$61="Catastrófico"),CONCATENATE("R",'Mapa final'!$A$61),"")</f>
        <v/>
      </c>
      <c r="AI20" s="251"/>
      <c r="AJ20" s="251" t="str">
        <f>IF(AND('Mapa final'!$J$68="Alta",'Mapa final'!$N$68="Catastrófico"),CONCATENATE("R",'Mapa final'!$A$68),"")</f>
        <v/>
      </c>
      <c r="AK20" s="251"/>
      <c r="AL20" s="251" t="str">
        <f>IF(AND('Mapa final'!$J$74="Alta",'Mapa final'!$N$74="Catastrófico"),CONCATENATE("R",'Mapa final'!$A$74),"")</f>
        <v/>
      </c>
      <c r="AM20" s="252"/>
      <c r="AN20" s="70"/>
      <c r="AO20" s="295"/>
      <c r="AP20" s="296"/>
      <c r="AQ20" s="296"/>
      <c r="AR20" s="296"/>
      <c r="AS20" s="296"/>
      <c r="AT20" s="297"/>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81"/>
      <c r="C21" s="281"/>
      <c r="D21" s="282"/>
      <c r="E21" s="276"/>
      <c r="F21" s="277"/>
      <c r="G21" s="277"/>
      <c r="H21" s="277"/>
      <c r="I21" s="277"/>
      <c r="J21" s="244"/>
      <c r="K21" s="245"/>
      <c r="L21" s="245"/>
      <c r="M21" s="245"/>
      <c r="N21" s="245"/>
      <c r="O21" s="246"/>
      <c r="P21" s="244"/>
      <c r="Q21" s="245"/>
      <c r="R21" s="245"/>
      <c r="S21" s="245"/>
      <c r="T21" s="245"/>
      <c r="U21" s="246"/>
      <c r="V21" s="263"/>
      <c r="W21" s="264"/>
      <c r="X21" s="264"/>
      <c r="Y21" s="264"/>
      <c r="Z21" s="264"/>
      <c r="AA21" s="265"/>
      <c r="AB21" s="263"/>
      <c r="AC21" s="264"/>
      <c r="AD21" s="264"/>
      <c r="AE21" s="264"/>
      <c r="AF21" s="264"/>
      <c r="AG21" s="265"/>
      <c r="AH21" s="253"/>
      <c r="AI21" s="254"/>
      <c r="AJ21" s="254"/>
      <c r="AK21" s="254"/>
      <c r="AL21" s="254"/>
      <c r="AM21" s="255"/>
      <c r="AN21" s="70"/>
      <c r="AO21" s="298"/>
      <c r="AP21" s="299"/>
      <c r="AQ21" s="299"/>
      <c r="AR21" s="299"/>
      <c r="AS21" s="299"/>
      <c r="AT21" s="30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281"/>
      <c r="C22" s="281"/>
      <c r="D22" s="282"/>
      <c r="E22" s="270" t="s">
        <v>113</v>
      </c>
      <c r="F22" s="271"/>
      <c r="G22" s="271"/>
      <c r="H22" s="271"/>
      <c r="I22" s="272"/>
      <c r="J22" s="247" t="str">
        <f>IF(AND('Mapa final'!$J$7="Media",'Mapa final'!$N$7="Leve"),CONCATENATE("R",'Mapa final'!$A$7),"")</f>
        <v/>
      </c>
      <c r="K22" s="248"/>
      <c r="L22" s="248" t="str">
        <f ca="1">IF(AND('Mapa final'!$J$13="Media",'Mapa final'!$N$13="Leve"),CONCATENATE("R",'Mapa final'!$A$13),"")</f>
        <v/>
      </c>
      <c r="M22" s="248"/>
      <c r="N22" s="248" t="str">
        <f ca="1">IF(AND('Mapa final'!$J$19="Media",'Mapa final'!$N$19="Leve"),CONCATENATE("R",'Mapa final'!$A$19),"")</f>
        <v/>
      </c>
      <c r="O22" s="249"/>
      <c r="P22" s="247" t="str">
        <f>IF(AND('Mapa final'!$J$7="Media",'Mapa final'!$N$7="Menor"),CONCATENATE("R",'Mapa final'!$A$7),"")</f>
        <v/>
      </c>
      <c r="Q22" s="248"/>
      <c r="R22" s="248" t="str">
        <f ca="1">IF(AND('Mapa final'!$J$13="Media",'Mapa final'!$N$13="Menor"),CONCATENATE("R",'Mapa final'!$A$13),"")</f>
        <v/>
      </c>
      <c r="S22" s="248"/>
      <c r="T22" s="248" t="str">
        <f ca="1">IF(AND('Mapa final'!$J$19="Media",'Mapa final'!$N$19="Menor"),CONCATENATE("R",'Mapa final'!$A$19),"")</f>
        <v/>
      </c>
      <c r="U22" s="249"/>
      <c r="V22" s="247" t="str">
        <f>IF(AND('Mapa final'!$J$7="Media",'Mapa final'!$N$7="Moderado"),CONCATENATE("R",'Mapa final'!$A$7),"")</f>
        <v/>
      </c>
      <c r="W22" s="248"/>
      <c r="X22" s="248" t="str">
        <f ca="1">IF(AND('Mapa final'!$J$13="Media",'Mapa final'!$N$13="Moderado"),CONCATENATE("R",'Mapa final'!$A$13),"")</f>
        <v/>
      </c>
      <c r="Y22" s="248"/>
      <c r="Z22" s="248" t="str">
        <f ca="1">IF(AND('Mapa final'!$J$19="Media",'Mapa final'!$N$19="Moderado"),CONCATENATE("R",'Mapa final'!$A$19),"")</f>
        <v/>
      </c>
      <c r="AA22" s="249"/>
      <c r="AB22" s="266" t="str">
        <f>IF(AND('Mapa final'!$J$7="Media",'Mapa final'!$N$7="Mayor"),CONCATENATE("R",'Mapa final'!$A$7),"")</f>
        <v/>
      </c>
      <c r="AC22" s="267"/>
      <c r="AD22" s="267" t="str">
        <f ca="1">IF(AND('Mapa final'!$J$13="Media",'Mapa final'!$N$13="Mayor"),CONCATENATE("R",'Mapa final'!$A$13),"")</f>
        <v/>
      </c>
      <c r="AE22" s="267"/>
      <c r="AF22" s="267" t="str">
        <f ca="1">IF(AND('Mapa final'!$J$19="Media",'Mapa final'!$N$19="Mayor"),CONCATENATE("R",'Mapa final'!$A$19),"")</f>
        <v/>
      </c>
      <c r="AG22" s="268"/>
      <c r="AH22" s="256" t="str">
        <f>IF(AND('Mapa final'!$J$7="Media",'Mapa final'!$N$7="Catastrófico"),CONCATENATE("R",'Mapa final'!$A$7),"")</f>
        <v/>
      </c>
      <c r="AI22" s="257"/>
      <c r="AJ22" s="257" t="str">
        <f ca="1">IF(AND('Mapa final'!$J$13="Media",'Mapa final'!$N$13="Catastrófico"),CONCATENATE("R",'Mapa final'!$A$13),"")</f>
        <v/>
      </c>
      <c r="AK22" s="257"/>
      <c r="AL22" s="257" t="str">
        <f ca="1">IF(AND('Mapa final'!$J$19="Media",'Mapa final'!$N$19="Catastrófico"),CONCATENATE("R",'Mapa final'!$A$19),"")</f>
        <v/>
      </c>
      <c r="AM22" s="258"/>
      <c r="AN22" s="70"/>
      <c r="AO22" s="301" t="s">
        <v>77</v>
      </c>
      <c r="AP22" s="302"/>
      <c r="AQ22" s="302"/>
      <c r="AR22" s="302"/>
      <c r="AS22" s="302"/>
      <c r="AT22" s="303"/>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281"/>
      <c r="C23" s="281"/>
      <c r="D23" s="282"/>
      <c r="E23" s="273"/>
      <c r="F23" s="274"/>
      <c r="G23" s="274"/>
      <c r="H23" s="274"/>
      <c r="I23" s="275"/>
      <c r="J23" s="241"/>
      <c r="K23" s="242"/>
      <c r="L23" s="242"/>
      <c r="M23" s="242"/>
      <c r="N23" s="242"/>
      <c r="O23" s="243"/>
      <c r="P23" s="241"/>
      <c r="Q23" s="242"/>
      <c r="R23" s="242"/>
      <c r="S23" s="242"/>
      <c r="T23" s="242"/>
      <c r="U23" s="243"/>
      <c r="V23" s="241"/>
      <c r="W23" s="242"/>
      <c r="X23" s="242"/>
      <c r="Y23" s="242"/>
      <c r="Z23" s="242"/>
      <c r="AA23" s="243"/>
      <c r="AB23" s="259"/>
      <c r="AC23" s="260"/>
      <c r="AD23" s="260"/>
      <c r="AE23" s="260"/>
      <c r="AF23" s="260"/>
      <c r="AG23" s="262"/>
      <c r="AH23" s="250"/>
      <c r="AI23" s="251"/>
      <c r="AJ23" s="251"/>
      <c r="AK23" s="251"/>
      <c r="AL23" s="251"/>
      <c r="AM23" s="252"/>
      <c r="AN23" s="70"/>
      <c r="AO23" s="304"/>
      <c r="AP23" s="305"/>
      <c r="AQ23" s="305"/>
      <c r="AR23" s="305"/>
      <c r="AS23" s="305"/>
      <c r="AT23" s="30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281"/>
      <c r="C24" s="281"/>
      <c r="D24" s="282"/>
      <c r="E24" s="273"/>
      <c r="F24" s="274"/>
      <c r="G24" s="274"/>
      <c r="H24" s="274"/>
      <c r="I24" s="275"/>
      <c r="J24" s="241" t="str">
        <f ca="1">IF(AND('Mapa final'!$J$25="Media",'Mapa final'!$N$25="Leve"),CONCATENATE("R",'Mapa final'!$A$25),"")</f>
        <v/>
      </c>
      <c r="K24" s="242"/>
      <c r="L24" s="242" t="str">
        <f ca="1">IF(AND('Mapa final'!$J$31="Media",'Mapa final'!$N$31="Leve"),CONCATENATE("R",'Mapa final'!$A$31),"")</f>
        <v/>
      </c>
      <c r="M24" s="242"/>
      <c r="N24" s="242" t="str">
        <f ca="1">IF(AND('Mapa final'!$J$37="Media",'Mapa final'!$N$37="Leve"),CONCATENATE("R",'Mapa final'!$A$37),"")</f>
        <v/>
      </c>
      <c r="O24" s="243"/>
      <c r="P24" s="241" t="str">
        <f ca="1">IF(AND('Mapa final'!$J$25="Media",'Mapa final'!$N$25="Menor"),CONCATENATE("R",'Mapa final'!$A$25),"")</f>
        <v/>
      </c>
      <c r="Q24" s="242"/>
      <c r="R24" s="242" t="str">
        <f ca="1">IF(AND('Mapa final'!$J$31="Media",'Mapa final'!$N$31="Menor"),CONCATENATE("R",'Mapa final'!$A$31),"")</f>
        <v/>
      </c>
      <c r="S24" s="242"/>
      <c r="T24" s="242" t="str">
        <f ca="1">IF(AND('Mapa final'!$J$37="Media",'Mapa final'!$N$37="Menor"),CONCATENATE("R",'Mapa final'!$A$37),"")</f>
        <v/>
      </c>
      <c r="U24" s="243"/>
      <c r="V24" s="241" t="str">
        <f ca="1">IF(AND('Mapa final'!$J$25="Media",'Mapa final'!$N$25="Moderado"),CONCATENATE("R",'Mapa final'!$A$25),"")</f>
        <v/>
      </c>
      <c r="W24" s="242"/>
      <c r="X24" s="242" t="str">
        <f ca="1">IF(AND('Mapa final'!$J$31="Media",'Mapa final'!$N$31="Moderado"),CONCATENATE("R",'Mapa final'!$A$31),"")</f>
        <v/>
      </c>
      <c r="Y24" s="242"/>
      <c r="Z24" s="242" t="str">
        <f ca="1">IF(AND('Mapa final'!$J$37="Media",'Mapa final'!$N$37="Moderado"),CONCATENATE("R",'Mapa final'!$A$37),"")</f>
        <v/>
      </c>
      <c r="AA24" s="243"/>
      <c r="AB24" s="259" t="str">
        <f ca="1">IF(AND('Mapa final'!$J$25="Media",'Mapa final'!$N$25="Mayor"),CONCATENATE("R",'Mapa final'!$A$25),"")</f>
        <v/>
      </c>
      <c r="AC24" s="260"/>
      <c r="AD24" s="261" t="str">
        <f ca="1">IF(AND('Mapa final'!$J$31="Media",'Mapa final'!$N$31="Mayor"),CONCATENATE("R",'Mapa final'!$A$31),"")</f>
        <v/>
      </c>
      <c r="AE24" s="261"/>
      <c r="AF24" s="261" t="str">
        <f ca="1">IF(AND('Mapa final'!$J$37="Media",'Mapa final'!$N$37="Mayor"),CONCATENATE("R",'Mapa final'!$A$37),"")</f>
        <v/>
      </c>
      <c r="AG24" s="262"/>
      <c r="AH24" s="250" t="str">
        <f ca="1">IF(AND('Mapa final'!$J$25="Media",'Mapa final'!$N$25="Catastrófico"),CONCATENATE("R",'Mapa final'!$A$25),"")</f>
        <v/>
      </c>
      <c r="AI24" s="251"/>
      <c r="AJ24" s="251" t="str">
        <f ca="1">IF(AND('Mapa final'!$J$31="Media",'Mapa final'!$N$31="Catastrófico"),CONCATENATE("R",'Mapa final'!$A$31),"")</f>
        <v/>
      </c>
      <c r="AK24" s="251"/>
      <c r="AL24" s="251" t="str">
        <f ca="1">IF(AND('Mapa final'!$J$37="Media",'Mapa final'!$N$37="Catastrófico"),CONCATENATE("R",'Mapa final'!$A$37),"")</f>
        <v/>
      </c>
      <c r="AM24" s="252"/>
      <c r="AN24" s="70"/>
      <c r="AO24" s="304"/>
      <c r="AP24" s="305"/>
      <c r="AQ24" s="305"/>
      <c r="AR24" s="305"/>
      <c r="AS24" s="305"/>
      <c r="AT24" s="30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281"/>
      <c r="C25" s="281"/>
      <c r="D25" s="282"/>
      <c r="E25" s="273"/>
      <c r="F25" s="274"/>
      <c r="G25" s="274"/>
      <c r="H25" s="274"/>
      <c r="I25" s="275"/>
      <c r="J25" s="241"/>
      <c r="K25" s="242"/>
      <c r="L25" s="242"/>
      <c r="M25" s="242"/>
      <c r="N25" s="242"/>
      <c r="O25" s="243"/>
      <c r="P25" s="241"/>
      <c r="Q25" s="242"/>
      <c r="R25" s="242"/>
      <c r="S25" s="242"/>
      <c r="T25" s="242"/>
      <c r="U25" s="243"/>
      <c r="V25" s="241"/>
      <c r="W25" s="242"/>
      <c r="X25" s="242"/>
      <c r="Y25" s="242"/>
      <c r="Z25" s="242"/>
      <c r="AA25" s="243"/>
      <c r="AB25" s="259"/>
      <c r="AC25" s="260"/>
      <c r="AD25" s="261"/>
      <c r="AE25" s="261"/>
      <c r="AF25" s="261"/>
      <c r="AG25" s="262"/>
      <c r="AH25" s="250"/>
      <c r="AI25" s="251"/>
      <c r="AJ25" s="251"/>
      <c r="AK25" s="251"/>
      <c r="AL25" s="251"/>
      <c r="AM25" s="252"/>
      <c r="AN25" s="70"/>
      <c r="AO25" s="304"/>
      <c r="AP25" s="305"/>
      <c r="AQ25" s="305"/>
      <c r="AR25" s="305"/>
      <c r="AS25" s="305"/>
      <c r="AT25" s="306"/>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281"/>
      <c r="C26" s="281"/>
      <c r="D26" s="282"/>
      <c r="E26" s="273"/>
      <c r="F26" s="274"/>
      <c r="G26" s="274"/>
      <c r="H26" s="274"/>
      <c r="I26" s="275"/>
      <c r="J26" s="241" t="str">
        <f ca="1">IF(AND('Mapa final'!$J$43="Media",'Mapa final'!$N$43="Leve"),CONCATENATE("R",'Mapa final'!$A$43),"")</f>
        <v/>
      </c>
      <c r="K26" s="242"/>
      <c r="L26" s="242" t="str">
        <f ca="1">IF(AND('Mapa final'!$J$49="Media",'Mapa final'!$N$49="Leve"),CONCATENATE("R",'Mapa final'!$A$49),"")</f>
        <v/>
      </c>
      <c r="M26" s="242"/>
      <c r="N26" s="242" t="str">
        <f ca="1">IF(AND('Mapa final'!$J$55="Media",'Mapa final'!$N$55="Leve"),CONCATENATE("R",'Mapa final'!$A$55),"")</f>
        <v/>
      </c>
      <c r="O26" s="243"/>
      <c r="P26" s="241" t="str">
        <f ca="1">IF(AND('Mapa final'!$J$43="Media",'Mapa final'!$N$43="Menor"),CONCATENATE("R",'Mapa final'!$A$43),"")</f>
        <v/>
      </c>
      <c r="Q26" s="242"/>
      <c r="R26" s="242" t="str">
        <f ca="1">IF(AND('Mapa final'!$J$49="Media",'Mapa final'!$N$49="Menor"),CONCATENATE("R",'Mapa final'!$A$49),"")</f>
        <v/>
      </c>
      <c r="S26" s="242"/>
      <c r="T26" s="242" t="str">
        <f ca="1">IF(AND('Mapa final'!$J$55="Media",'Mapa final'!$N$55="Menor"),CONCATENATE("R",'Mapa final'!$A$55),"")</f>
        <v/>
      </c>
      <c r="U26" s="243"/>
      <c r="V26" s="241" t="str">
        <f ca="1">IF(AND('Mapa final'!$J$43="Media",'Mapa final'!$N$43="Moderado"),CONCATENATE("R",'Mapa final'!$A$43),"")</f>
        <v/>
      </c>
      <c r="W26" s="242"/>
      <c r="X26" s="242" t="str">
        <f ca="1">IF(AND('Mapa final'!$J$49="Media",'Mapa final'!$N$49="Moderado"),CONCATENATE("R",'Mapa final'!$A$49),"")</f>
        <v/>
      </c>
      <c r="Y26" s="242"/>
      <c r="Z26" s="242" t="str">
        <f ca="1">IF(AND('Mapa final'!$J$55="Media",'Mapa final'!$N$55="Moderado"),CONCATENATE("R",'Mapa final'!$A$55),"")</f>
        <v/>
      </c>
      <c r="AA26" s="243"/>
      <c r="AB26" s="259" t="str">
        <f ca="1">IF(AND('Mapa final'!$J$43="Media",'Mapa final'!$N$43="Mayor"),CONCATENATE("R",'Mapa final'!$A$43),"")</f>
        <v/>
      </c>
      <c r="AC26" s="260"/>
      <c r="AD26" s="261" t="str">
        <f ca="1">IF(AND('Mapa final'!$J$49="Media",'Mapa final'!$N$49="Mayor"),CONCATENATE("R",'Mapa final'!$A$49),"")</f>
        <v/>
      </c>
      <c r="AE26" s="261"/>
      <c r="AF26" s="261" t="str">
        <f ca="1">IF(AND('Mapa final'!$J$55="Media",'Mapa final'!$N$55="Mayor"),CONCATENATE("R",'Mapa final'!$A$55),"")</f>
        <v/>
      </c>
      <c r="AG26" s="262"/>
      <c r="AH26" s="250" t="str">
        <f ca="1">IF(AND('Mapa final'!$J$43="Media",'Mapa final'!$N$43="Catastrófico"),CONCATENATE("R",'Mapa final'!$A$43),"")</f>
        <v/>
      </c>
      <c r="AI26" s="251"/>
      <c r="AJ26" s="251" t="str">
        <f ca="1">IF(AND('Mapa final'!$J$49="Media",'Mapa final'!$N$49="Catastrófico"),CONCATENATE("R",'Mapa final'!$A$49),"")</f>
        <v/>
      </c>
      <c r="AK26" s="251"/>
      <c r="AL26" s="251" t="str">
        <f ca="1">IF(AND('Mapa final'!$J$55="Media",'Mapa final'!$N$55="Catastrófico"),CONCATENATE("R",'Mapa final'!$A$55),"")</f>
        <v/>
      </c>
      <c r="AM26" s="252"/>
      <c r="AN26" s="70"/>
      <c r="AO26" s="304"/>
      <c r="AP26" s="305"/>
      <c r="AQ26" s="305"/>
      <c r="AR26" s="305"/>
      <c r="AS26" s="305"/>
      <c r="AT26" s="306"/>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281"/>
      <c r="C27" s="281"/>
      <c r="D27" s="282"/>
      <c r="E27" s="273"/>
      <c r="F27" s="274"/>
      <c r="G27" s="274"/>
      <c r="H27" s="274"/>
      <c r="I27" s="275"/>
      <c r="J27" s="241"/>
      <c r="K27" s="242"/>
      <c r="L27" s="242"/>
      <c r="M27" s="242"/>
      <c r="N27" s="242"/>
      <c r="O27" s="243"/>
      <c r="P27" s="241"/>
      <c r="Q27" s="242"/>
      <c r="R27" s="242"/>
      <c r="S27" s="242"/>
      <c r="T27" s="242"/>
      <c r="U27" s="243"/>
      <c r="V27" s="241"/>
      <c r="W27" s="242"/>
      <c r="X27" s="242"/>
      <c r="Y27" s="242"/>
      <c r="Z27" s="242"/>
      <c r="AA27" s="243"/>
      <c r="AB27" s="259"/>
      <c r="AC27" s="260"/>
      <c r="AD27" s="261"/>
      <c r="AE27" s="261"/>
      <c r="AF27" s="261"/>
      <c r="AG27" s="262"/>
      <c r="AH27" s="250"/>
      <c r="AI27" s="251"/>
      <c r="AJ27" s="251"/>
      <c r="AK27" s="251"/>
      <c r="AL27" s="251"/>
      <c r="AM27" s="252"/>
      <c r="AN27" s="70"/>
      <c r="AO27" s="304"/>
      <c r="AP27" s="305"/>
      <c r="AQ27" s="305"/>
      <c r="AR27" s="305"/>
      <c r="AS27" s="305"/>
      <c r="AT27" s="306"/>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281"/>
      <c r="C28" s="281"/>
      <c r="D28" s="282"/>
      <c r="E28" s="273"/>
      <c r="F28" s="274"/>
      <c r="G28" s="274"/>
      <c r="H28" s="274"/>
      <c r="I28" s="275"/>
      <c r="J28" s="241" t="str">
        <f ca="1">IF(AND('Mapa final'!$J$61="Media",'Mapa final'!$N$61="Leve"),CONCATENATE("R",'Mapa final'!$A$61),"")</f>
        <v/>
      </c>
      <c r="K28" s="242"/>
      <c r="L28" s="242" t="str">
        <f>IF(AND('Mapa final'!$J$68="Media",'Mapa final'!$N$68="Leve"),CONCATENATE("R",'Mapa final'!$A$68),"")</f>
        <v/>
      </c>
      <c r="M28" s="242"/>
      <c r="N28" s="242" t="str">
        <f>IF(AND('Mapa final'!$J$74="Media",'Mapa final'!$N$74="Leve"),CONCATENATE("R",'Mapa final'!$A$74),"")</f>
        <v/>
      </c>
      <c r="O28" s="243"/>
      <c r="P28" s="241" t="str">
        <f ca="1">IF(AND('Mapa final'!$J$61="Media",'Mapa final'!$N$61="Menor"),CONCATENATE("R",'Mapa final'!$A$61),"")</f>
        <v/>
      </c>
      <c r="Q28" s="242"/>
      <c r="R28" s="242" t="str">
        <f>IF(AND('Mapa final'!$J$68="Media",'Mapa final'!$N$68="Menor"),CONCATENATE("R",'Mapa final'!$A$68),"")</f>
        <v/>
      </c>
      <c r="S28" s="242"/>
      <c r="T28" s="242" t="str">
        <f>IF(AND('Mapa final'!$J$74="Media",'Mapa final'!$N$74="Menor"),CONCATENATE("R",'Mapa final'!$A$74),"")</f>
        <v/>
      </c>
      <c r="U28" s="243"/>
      <c r="V28" s="241" t="str">
        <f ca="1">IF(AND('Mapa final'!$J$61="Media",'Mapa final'!$N$61="Moderado"),CONCATENATE("R",'Mapa final'!$A$61),"")</f>
        <v/>
      </c>
      <c r="W28" s="242"/>
      <c r="X28" s="242" t="str">
        <f>IF(AND('Mapa final'!$J$68="Media",'Mapa final'!$N$68="Moderado"),CONCATENATE("R",'Mapa final'!$A$68),"")</f>
        <v/>
      </c>
      <c r="Y28" s="242"/>
      <c r="Z28" s="242" t="str">
        <f>IF(AND('Mapa final'!$J$74="Media",'Mapa final'!$N$74="Moderado"),CONCATENATE("R",'Mapa final'!$A$74),"")</f>
        <v/>
      </c>
      <c r="AA28" s="243"/>
      <c r="AB28" s="259" t="str">
        <f ca="1">IF(AND('Mapa final'!$J$61="Media",'Mapa final'!$N$61="Mayor"),CONCATENATE("R",'Mapa final'!$A$61),"")</f>
        <v/>
      </c>
      <c r="AC28" s="260"/>
      <c r="AD28" s="261" t="str">
        <f>IF(AND('Mapa final'!$J$68="Media",'Mapa final'!$N$68="Mayor"),CONCATENATE("R",'Mapa final'!$A$68),"")</f>
        <v/>
      </c>
      <c r="AE28" s="261"/>
      <c r="AF28" s="261" t="str">
        <f>IF(AND('Mapa final'!$J$74="Media",'Mapa final'!$N$74="Mayor"),CONCATENATE("R",'Mapa final'!$A$74),"")</f>
        <v/>
      </c>
      <c r="AG28" s="262"/>
      <c r="AH28" s="250" t="str">
        <f ca="1">IF(AND('Mapa final'!$J$61="Media",'Mapa final'!$N$61="Catastrófico"),CONCATENATE("R",'Mapa final'!$A$61),"")</f>
        <v/>
      </c>
      <c r="AI28" s="251"/>
      <c r="AJ28" s="251" t="str">
        <f>IF(AND('Mapa final'!$J$68="Media",'Mapa final'!$N$68="Catastrófico"),CONCATENATE("R",'Mapa final'!$A$68),"")</f>
        <v/>
      </c>
      <c r="AK28" s="251"/>
      <c r="AL28" s="251" t="str">
        <f>IF(AND('Mapa final'!$J$74="Media",'Mapa final'!$N$74="Catastrófico"),CONCATENATE("R",'Mapa final'!$A$74),"")</f>
        <v/>
      </c>
      <c r="AM28" s="252"/>
      <c r="AN28" s="70"/>
      <c r="AO28" s="304"/>
      <c r="AP28" s="305"/>
      <c r="AQ28" s="305"/>
      <c r="AR28" s="305"/>
      <c r="AS28" s="305"/>
      <c r="AT28" s="306"/>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281"/>
      <c r="C29" s="281"/>
      <c r="D29" s="282"/>
      <c r="E29" s="276"/>
      <c r="F29" s="277"/>
      <c r="G29" s="277"/>
      <c r="H29" s="277"/>
      <c r="I29" s="278"/>
      <c r="J29" s="241"/>
      <c r="K29" s="242"/>
      <c r="L29" s="242"/>
      <c r="M29" s="242"/>
      <c r="N29" s="242"/>
      <c r="O29" s="243"/>
      <c r="P29" s="244"/>
      <c r="Q29" s="245"/>
      <c r="R29" s="245"/>
      <c r="S29" s="245"/>
      <c r="T29" s="245"/>
      <c r="U29" s="246"/>
      <c r="V29" s="244"/>
      <c r="W29" s="245"/>
      <c r="X29" s="245"/>
      <c r="Y29" s="245"/>
      <c r="Z29" s="245"/>
      <c r="AA29" s="246"/>
      <c r="AB29" s="263"/>
      <c r="AC29" s="264"/>
      <c r="AD29" s="264"/>
      <c r="AE29" s="264"/>
      <c r="AF29" s="264"/>
      <c r="AG29" s="265"/>
      <c r="AH29" s="253"/>
      <c r="AI29" s="254"/>
      <c r="AJ29" s="254"/>
      <c r="AK29" s="254"/>
      <c r="AL29" s="254"/>
      <c r="AM29" s="255"/>
      <c r="AN29" s="70"/>
      <c r="AO29" s="307"/>
      <c r="AP29" s="308"/>
      <c r="AQ29" s="308"/>
      <c r="AR29" s="308"/>
      <c r="AS29" s="308"/>
      <c r="AT29" s="309"/>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281"/>
      <c r="C30" s="281"/>
      <c r="D30" s="282"/>
      <c r="E30" s="270" t="s">
        <v>110</v>
      </c>
      <c r="F30" s="271"/>
      <c r="G30" s="271"/>
      <c r="H30" s="271"/>
      <c r="I30" s="271"/>
      <c r="J30" s="238" t="str">
        <f>IF(AND('Mapa final'!$J$7="Baja",'Mapa final'!$N$7="Leve"),CONCATENATE("R",'Mapa final'!$A$7),"")</f>
        <v/>
      </c>
      <c r="K30" s="239"/>
      <c r="L30" s="239" t="str">
        <f ca="1">IF(AND('Mapa final'!$J$13="Baja",'Mapa final'!$N$13="Leve"),CONCATENATE("R",'Mapa final'!$A$13),"")</f>
        <v>R2</v>
      </c>
      <c r="M30" s="239"/>
      <c r="N30" s="239" t="str">
        <f ca="1">IF(AND('Mapa final'!$J$19="Baja",'Mapa final'!$N$19="Leve"),CONCATENATE("R",'Mapa final'!$A$19),"")</f>
        <v/>
      </c>
      <c r="O30" s="240"/>
      <c r="P30" s="248" t="str">
        <f>IF(AND('Mapa final'!$J$7="Baja",'Mapa final'!$N$7="Menor"),CONCATENATE("R",'Mapa final'!$A$7),"")</f>
        <v/>
      </c>
      <c r="Q30" s="248"/>
      <c r="R30" s="248" t="str">
        <f ca="1">IF(AND('Mapa final'!$J$13="Baja",'Mapa final'!$N$13="Menor"),CONCATENATE("R",'Mapa final'!$A$13),"")</f>
        <v/>
      </c>
      <c r="S30" s="248"/>
      <c r="T30" s="248" t="str">
        <f ca="1">IF(AND('Mapa final'!$J$19="Baja",'Mapa final'!$N$19="Menor"),CONCATENATE("R",'Mapa final'!$A$19),"")</f>
        <v/>
      </c>
      <c r="U30" s="249"/>
      <c r="V30" s="247" t="str">
        <f>IF(AND('Mapa final'!$J$7="Baja",'Mapa final'!$N$7="Moderado"),CONCATENATE("R",'Mapa final'!$A$7),"")</f>
        <v/>
      </c>
      <c r="W30" s="248"/>
      <c r="X30" s="248" t="str">
        <f ca="1">IF(AND('Mapa final'!$J$13="Baja",'Mapa final'!$N$13="Moderado"),CONCATENATE("R",'Mapa final'!$A$13),"")</f>
        <v/>
      </c>
      <c r="Y30" s="248"/>
      <c r="Z30" s="248" t="str">
        <f ca="1">IF(AND('Mapa final'!$J$19="Baja",'Mapa final'!$N$19="Moderado"),CONCATENATE("R",'Mapa final'!$A$19),"")</f>
        <v/>
      </c>
      <c r="AA30" s="249"/>
      <c r="AB30" s="266" t="str">
        <f>IF(AND('Mapa final'!$J$7="Baja",'Mapa final'!$N$7="Mayor"),CONCATENATE("R",'Mapa final'!$A$7),"")</f>
        <v/>
      </c>
      <c r="AC30" s="267"/>
      <c r="AD30" s="267" t="str">
        <f ca="1">IF(AND('Mapa final'!$J$13="Baja",'Mapa final'!$N$13="Mayor"),CONCATENATE("R",'Mapa final'!$A$13),"")</f>
        <v/>
      </c>
      <c r="AE30" s="267"/>
      <c r="AF30" s="267" t="str">
        <f ca="1">IF(AND('Mapa final'!$J$19="Baja",'Mapa final'!$N$19="Mayor"),CONCATENATE("R",'Mapa final'!$A$19),"")</f>
        <v/>
      </c>
      <c r="AG30" s="268"/>
      <c r="AH30" s="256" t="str">
        <f>IF(AND('Mapa final'!$J$7="Baja",'Mapa final'!$N$7="Catastrófico"),CONCATENATE("R",'Mapa final'!$A$7),"")</f>
        <v/>
      </c>
      <c r="AI30" s="257"/>
      <c r="AJ30" s="257" t="str">
        <f ca="1">IF(AND('Mapa final'!$J$13="Baja",'Mapa final'!$N$13="Catastrófico"),CONCATENATE("R",'Mapa final'!$A$13),"")</f>
        <v/>
      </c>
      <c r="AK30" s="257"/>
      <c r="AL30" s="257" t="str">
        <f ca="1">IF(AND('Mapa final'!$J$19="Baja",'Mapa final'!$N$19="Catastrófico"),CONCATENATE("R",'Mapa final'!$A$19),"")</f>
        <v/>
      </c>
      <c r="AM30" s="258"/>
      <c r="AN30" s="70"/>
      <c r="AO30" s="310" t="s">
        <v>78</v>
      </c>
      <c r="AP30" s="311"/>
      <c r="AQ30" s="311"/>
      <c r="AR30" s="311"/>
      <c r="AS30" s="311"/>
      <c r="AT30" s="312"/>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281"/>
      <c r="C31" s="281"/>
      <c r="D31" s="282"/>
      <c r="E31" s="273"/>
      <c r="F31" s="274"/>
      <c r="G31" s="274"/>
      <c r="H31" s="274"/>
      <c r="I31" s="279"/>
      <c r="J31" s="232"/>
      <c r="K31" s="233"/>
      <c r="L31" s="233"/>
      <c r="M31" s="233"/>
      <c r="N31" s="233"/>
      <c r="O31" s="234"/>
      <c r="P31" s="242"/>
      <c r="Q31" s="242"/>
      <c r="R31" s="242"/>
      <c r="S31" s="242"/>
      <c r="T31" s="242"/>
      <c r="U31" s="243"/>
      <c r="V31" s="241"/>
      <c r="W31" s="242"/>
      <c r="X31" s="242"/>
      <c r="Y31" s="242"/>
      <c r="Z31" s="242"/>
      <c r="AA31" s="243"/>
      <c r="AB31" s="259"/>
      <c r="AC31" s="260"/>
      <c r="AD31" s="260"/>
      <c r="AE31" s="260"/>
      <c r="AF31" s="260"/>
      <c r="AG31" s="262"/>
      <c r="AH31" s="250"/>
      <c r="AI31" s="251"/>
      <c r="AJ31" s="251"/>
      <c r="AK31" s="251"/>
      <c r="AL31" s="251"/>
      <c r="AM31" s="252"/>
      <c r="AN31" s="70"/>
      <c r="AO31" s="313"/>
      <c r="AP31" s="314"/>
      <c r="AQ31" s="314"/>
      <c r="AR31" s="314"/>
      <c r="AS31" s="314"/>
      <c r="AT31" s="315"/>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281"/>
      <c r="C32" s="281"/>
      <c r="D32" s="282"/>
      <c r="E32" s="273"/>
      <c r="F32" s="274"/>
      <c r="G32" s="274"/>
      <c r="H32" s="274"/>
      <c r="I32" s="279"/>
      <c r="J32" s="232" t="str">
        <f ca="1">IF(AND('Mapa final'!$J$25="Baja",'Mapa final'!$N$25="Leve"),CONCATENATE("R",'Mapa final'!$A$25),"")</f>
        <v/>
      </c>
      <c r="K32" s="233"/>
      <c r="L32" s="233" t="str">
        <f ca="1">IF(AND('Mapa final'!$J$31="Baja",'Mapa final'!$N$31="Leve"),CONCATENATE("R",'Mapa final'!$A$31),"")</f>
        <v/>
      </c>
      <c r="M32" s="233"/>
      <c r="N32" s="233" t="str">
        <f ca="1">IF(AND('Mapa final'!$J$37="Baja",'Mapa final'!$N$37="Leve"),CONCATENATE("R",'Mapa final'!$A$37),"")</f>
        <v/>
      </c>
      <c r="O32" s="234"/>
      <c r="P32" s="242" t="str">
        <f ca="1">IF(AND('Mapa final'!$J$25="Baja",'Mapa final'!$N$25="Menor"),CONCATENATE("R",'Mapa final'!$A$25),"")</f>
        <v/>
      </c>
      <c r="Q32" s="242"/>
      <c r="R32" s="242" t="str">
        <f ca="1">IF(AND('Mapa final'!$J$31="Baja",'Mapa final'!$N$31="Menor"),CONCATENATE("R",'Mapa final'!$A$31),"")</f>
        <v/>
      </c>
      <c r="S32" s="242"/>
      <c r="T32" s="242" t="str">
        <f ca="1">IF(AND('Mapa final'!$J$37="Baja",'Mapa final'!$N$37="Menor"),CONCATENATE("R",'Mapa final'!$A$37),"")</f>
        <v/>
      </c>
      <c r="U32" s="243"/>
      <c r="V32" s="241" t="str">
        <f ca="1">IF(AND('Mapa final'!$J$25="Baja",'Mapa final'!$N$25="Moderado"),CONCATENATE("R",'Mapa final'!$A$25),"")</f>
        <v/>
      </c>
      <c r="W32" s="242"/>
      <c r="X32" s="242" t="str">
        <f ca="1">IF(AND('Mapa final'!$J$31="Baja",'Mapa final'!$N$31="Moderado"),CONCATENATE("R",'Mapa final'!$A$31),"")</f>
        <v/>
      </c>
      <c r="Y32" s="242"/>
      <c r="Z32" s="242" t="str">
        <f ca="1">IF(AND('Mapa final'!$J$37="Baja",'Mapa final'!$N$37="Moderado"),CONCATENATE("R",'Mapa final'!$A$37),"")</f>
        <v/>
      </c>
      <c r="AA32" s="243"/>
      <c r="AB32" s="259" t="str">
        <f ca="1">IF(AND('Mapa final'!$J$25="Baja",'Mapa final'!$N$25="Mayor"),CONCATENATE("R",'Mapa final'!$A$25),"")</f>
        <v/>
      </c>
      <c r="AC32" s="260"/>
      <c r="AD32" s="261" t="str">
        <f ca="1">IF(AND('Mapa final'!$J$31="Baja",'Mapa final'!$N$31="Mayor"),CONCATENATE("R",'Mapa final'!$A$31),"")</f>
        <v/>
      </c>
      <c r="AE32" s="261"/>
      <c r="AF32" s="261" t="str">
        <f ca="1">IF(AND('Mapa final'!$J$37="Baja",'Mapa final'!$N$37="Mayor"),CONCATENATE("R",'Mapa final'!$A$37),"")</f>
        <v/>
      </c>
      <c r="AG32" s="262"/>
      <c r="AH32" s="250" t="str">
        <f ca="1">IF(AND('Mapa final'!$J$25="Baja",'Mapa final'!$N$25="Catastrófico"),CONCATENATE("R",'Mapa final'!$A$25),"")</f>
        <v/>
      </c>
      <c r="AI32" s="251"/>
      <c r="AJ32" s="251" t="str">
        <f ca="1">IF(AND('Mapa final'!$J$31="Baja",'Mapa final'!$N$31="Catastrófico"),CONCATENATE("R",'Mapa final'!$A$31),"")</f>
        <v/>
      </c>
      <c r="AK32" s="251"/>
      <c r="AL32" s="251" t="str">
        <f ca="1">IF(AND('Mapa final'!$J$37="Baja",'Mapa final'!$N$37="Catastrófico"),CONCATENATE("R",'Mapa final'!$A$37),"")</f>
        <v/>
      </c>
      <c r="AM32" s="252"/>
      <c r="AN32" s="70"/>
      <c r="AO32" s="313"/>
      <c r="AP32" s="314"/>
      <c r="AQ32" s="314"/>
      <c r="AR32" s="314"/>
      <c r="AS32" s="314"/>
      <c r="AT32" s="315"/>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281"/>
      <c r="C33" s="281"/>
      <c r="D33" s="282"/>
      <c r="E33" s="273"/>
      <c r="F33" s="274"/>
      <c r="G33" s="274"/>
      <c r="H33" s="274"/>
      <c r="I33" s="279"/>
      <c r="J33" s="232"/>
      <c r="K33" s="233"/>
      <c r="L33" s="233"/>
      <c r="M33" s="233"/>
      <c r="N33" s="233"/>
      <c r="O33" s="234"/>
      <c r="P33" s="242"/>
      <c r="Q33" s="242"/>
      <c r="R33" s="242"/>
      <c r="S33" s="242"/>
      <c r="T33" s="242"/>
      <c r="U33" s="243"/>
      <c r="V33" s="241"/>
      <c r="W33" s="242"/>
      <c r="X33" s="242"/>
      <c r="Y33" s="242"/>
      <c r="Z33" s="242"/>
      <c r="AA33" s="243"/>
      <c r="AB33" s="259"/>
      <c r="AC33" s="260"/>
      <c r="AD33" s="261"/>
      <c r="AE33" s="261"/>
      <c r="AF33" s="261"/>
      <c r="AG33" s="262"/>
      <c r="AH33" s="250"/>
      <c r="AI33" s="251"/>
      <c r="AJ33" s="251"/>
      <c r="AK33" s="251"/>
      <c r="AL33" s="251"/>
      <c r="AM33" s="252"/>
      <c r="AN33" s="70"/>
      <c r="AO33" s="313"/>
      <c r="AP33" s="314"/>
      <c r="AQ33" s="314"/>
      <c r="AR33" s="314"/>
      <c r="AS33" s="314"/>
      <c r="AT33" s="315"/>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281"/>
      <c r="C34" s="281"/>
      <c r="D34" s="282"/>
      <c r="E34" s="273"/>
      <c r="F34" s="274"/>
      <c r="G34" s="274"/>
      <c r="H34" s="274"/>
      <c r="I34" s="279"/>
      <c r="J34" s="232" t="str">
        <f ca="1">IF(AND('Mapa final'!$J$43="Baja",'Mapa final'!$N$43="Leve"),CONCATENATE("R",'Mapa final'!$A$43),"")</f>
        <v/>
      </c>
      <c r="K34" s="233"/>
      <c r="L34" s="233" t="str">
        <f ca="1">IF(AND('Mapa final'!$J$49="Baja",'Mapa final'!$N$49="Leve"),CONCATENATE("R",'Mapa final'!$A$49),"")</f>
        <v/>
      </c>
      <c r="M34" s="233"/>
      <c r="N34" s="233" t="str">
        <f ca="1">IF(AND('Mapa final'!$J$55="Baja",'Mapa final'!$N$55="Leve"),CONCATENATE("R",'Mapa final'!$A$55),"")</f>
        <v/>
      </c>
      <c r="O34" s="234"/>
      <c r="P34" s="242" t="str">
        <f ca="1">IF(AND('Mapa final'!$J$43="Baja",'Mapa final'!$N$43="Menor"),CONCATENATE("R",'Mapa final'!$A$43),"")</f>
        <v/>
      </c>
      <c r="Q34" s="242"/>
      <c r="R34" s="242" t="str">
        <f ca="1">IF(AND('Mapa final'!$J$49="Baja",'Mapa final'!$N$49="Menor"),CONCATENATE("R",'Mapa final'!$A$49),"")</f>
        <v/>
      </c>
      <c r="S34" s="242"/>
      <c r="T34" s="242" t="str">
        <f ca="1">IF(AND('Mapa final'!$J$55="Baja",'Mapa final'!$N$55="Menor"),CONCATENATE("R",'Mapa final'!$A$55),"")</f>
        <v/>
      </c>
      <c r="U34" s="243"/>
      <c r="V34" s="241" t="str">
        <f ca="1">IF(AND('Mapa final'!$J$43="Baja",'Mapa final'!$N$43="Moderado"),CONCATENATE("R",'Mapa final'!$A$43),"")</f>
        <v/>
      </c>
      <c r="W34" s="242"/>
      <c r="X34" s="242" t="str">
        <f ca="1">IF(AND('Mapa final'!$J$49="Baja",'Mapa final'!$N$49="Moderado"),CONCATENATE("R",'Mapa final'!$A$49),"")</f>
        <v/>
      </c>
      <c r="Y34" s="242"/>
      <c r="Z34" s="242" t="str">
        <f ca="1">IF(AND('Mapa final'!$J$55="Baja",'Mapa final'!$N$55="Moderado"),CONCATENATE("R",'Mapa final'!$A$55),"")</f>
        <v/>
      </c>
      <c r="AA34" s="243"/>
      <c r="AB34" s="259" t="str">
        <f ca="1">IF(AND('Mapa final'!$J$43="Baja",'Mapa final'!$N$43="Mayor"),CONCATENATE("R",'Mapa final'!$A$43),"")</f>
        <v/>
      </c>
      <c r="AC34" s="260"/>
      <c r="AD34" s="261" t="str">
        <f ca="1">IF(AND('Mapa final'!$J$49="Baja",'Mapa final'!$N$49="Mayor"),CONCATENATE("R",'Mapa final'!$A$49),"")</f>
        <v/>
      </c>
      <c r="AE34" s="261"/>
      <c r="AF34" s="261" t="str">
        <f ca="1">IF(AND('Mapa final'!$J$55="Baja",'Mapa final'!$N$55="Mayor"),CONCATENATE("R",'Mapa final'!$A$55),"")</f>
        <v/>
      </c>
      <c r="AG34" s="262"/>
      <c r="AH34" s="250" t="str">
        <f ca="1">IF(AND('Mapa final'!$J$43="Baja",'Mapa final'!$N$43="Catastrófico"),CONCATENATE("R",'Mapa final'!$A$43),"")</f>
        <v/>
      </c>
      <c r="AI34" s="251"/>
      <c r="AJ34" s="251" t="str">
        <f ca="1">IF(AND('Mapa final'!$J$49="Baja",'Mapa final'!$N$49="Catastrófico"),CONCATENATE("R",'Mapa final'!$A$49),"")</f>
        <v/>
      </c>
      <c r="AK34" s="251"/>
      <c r="AL34" s="251" t="str">
        <f ca="1">IF(AND('Mapa final'!$J$55="Baja",'Mapa final'!$N$55="Catastrófico"),CONCATENATE("R",'Mapa final'!$A$55),"")</f>
        <v/>
      </c>
      <c r="AM34" s="252"/>
      <c r="AN34" s="70"/>
      <c r="AO34" s="313"/>
      <c r="AP34" s="314"/>
      <c r="AQ34" s="314"/>
      <c r="AR34" s="314"/>
      <c r="AS34" s="314"/>
      <c r="AT34" s="315"/>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281"/>
      <c r="C35" s="281"/>
      <c r="D35" s="282"/>
      <c r="E35" s="273"/>
      <c r="F35" s="274"/>
      <c r="G35" s="274"/>
      <c r="H35" s="274"/>
      <c r="I35" s="279"/>
      <c r="J35" s="232"/>
      <c r="K35" s="233"/>
      <c r="L35" s="233"/>
      <c r="M35" s="233"/>
      <c r="N35" s="233"/>
      <c r="O35" s="234"/>
      <c r="P35" s="242"/>
      <c r="Q35" s="242"/>
      <c r="R35" s="242"/>
      <c r="S35" s="242"/>
      <c r="T35" s="242"/>
      <c r="U35" s="243"/>
      <c r="V35" s="241"/>
      <c r="W35" s="242"/>
      <c r="X35" s="242"/>
      <c r="Y35" s="242"/>
      <c r="Z35" s="242"/>
      <c r="AA35" s="243"/>
      <c r="AB35" s="259"/>
      <c r="AC35" s="260"/>
      <c r="AD35" s="261"/>
      <c r="AE35" s="261"/>
      <c r="AF35" s="261"/>
      <c r="AG35" s="262"/>
      <c r="AH35" s="250"/>
      <c r="AI35" s="251"/>
      <c r="AJ35" s="251"/>
      <c r="AK35" s="251"/>
      <c r="AL35" s="251"/>
      <c r="AM35" s="252"/>
      <c r="AN35" s="70"/>
      <c r="AO35" s="313"/>
      <c r="AP35" s="314"/>
      <c r="AQ35" s="314"/>
      <c r="AR35" s="314"/>
      <c r="AS35" s="314"/>
      <c r="AT35" s="315"/>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281"/>
      <c r="C36" s="281"/>
      <c r="D36" s="282"/>
      <c r="E36" s="273"/>
      <c r="F36" s="274"/>
      <c r="G36" s="274"/>
      <c r="H36" s="274"/>
      <c r="I36" s="279"/>
      <c r="J36" s="232" t="str">
        <f ca="1">IF(AND('Mapa final'!$J$61="Baja",'Mapa final'!$N$61="Leve"),CONCATENATE("R",'Mapa final'!$A$61),"")</f>
        <v/>
      </c>
      <c r="K36" s="233"/>
      <c r="L36" s="233" t="str">
        <f>IF(AND('Mapa final'!$J$68="Baja",'Mapa final'!$N$68="Leve"),CONCATENATE("R",'Mapa final'!$A$68),"")</f>
        <v/>
      </c>
      <c r="M36" s="233"/>
      <c r="N36" s="233" t="str">
        <f>IF(AND('Mapa final'!$J$74="Baja",'Mapa final'!$N$74="Leve"),CONCATENATE("R",'Mapa final'!$A$74),"")</f>
        <v/>
      </c>
      <c r="O36" s="234"/>
      <c r="P36" s="242" t="str">
        <f ca="1">IF(AND('Mapa final'!$J$61="Baja",'Mapa final'!$N$61="Menor"),CONCATENATE("R",'Mapa final'!$A$61),"")</f>
        <v/>
      </c>
      <c r="Q36" s="242"/>
      <c r="R36" s="242" t="str">
        <f>IF(AND('Mapa final'!$J$68="Baja",'Mapa final'!$N$68="Menor"),CONCATENATE("R",'Mapa final'!$A$68),"")</f>
        <v/>
      </c>
      <c r="S36" s="242"/>
      <c r="T36" s="242" t="str">
        <f>IF(AND('Mapa final'!$J$74="Baja",'Mapa final'!$N$74="Menor"),CONCATENATE("R",'Mapa final'!$A$74),"")</f>
        <v/>
      </c>
      <c r="U36" s="243"/>
      <c r="V36" s="241" t="str">
        <f ca="1">IF(AND('Mapa final'!$J$61="Baja",'Mapa final'!$N$61="Moderado"),CONCATENATE("R",'Mapa final'!$A$61),"")</f>
        <v/>
      </c>
      <c r="W36" s="242"/>
      <c r="X36" s="242" t="str">
        <f>IF(AND('Mapa final'!$J$68="Baja",'Mapa final'!$N$68="Moderado"),CONCATENATE("R",'Mapa final'!$A$68),"")</f>
        <v/>
      </c>
      <c r="Y36" s="242"/>
      <c r="Z36" s="242" t="str">
        <f>IF(AND('Mapa final'!$J$74="Baja",'Mapa final'!$N$74="Moderado"),CONCATENATE("R",'Mapa final'!$A$74),"")</f>
        <v/>
      </c>
      <c r="AA36" s="243"/>
      <c r="AB36" s="259" t="str">
        <f ca="1">IF(AND('Mapa final'!$J$61="Baja",'Mapa final'!$N$61="Mayor"),CONCATENATE("R",'Mapa final'!$A$61),"")</f>
        <v/>
      </c>
      <c r="AC36" s="260"/>
      <c r="AD36" s="261" t="str">
        <f>IF(AND('Mapa final'!$J$68="Baja",'Mapa final'!$N$68="Mayor"),CONCATENATE("R",'Mapa final'!$A$68),"")</f>
        <v/>
      </c>
      <c r="AE36" s="261"/>
      <c r="AF36" s="261" t="str">
        <f>IF(AND('Mapa final'!$J$74="Baja",'Mapa final'!$N$74="Mayor"),CONCATENATE("R",'Mapa final'!$A$74),"")</f>
        <v/>
      </c>
      <c r="AG36" s="262"/>
      <c r="AH36" s="250" t="str">
        <f ca="1">IF(AND('Mapa final'!$J$61="Baja",'Mapa final'!$N$61="Catastrófico"),CONCATENATE("R",'Mapa final'!$A$61),"")</f>
        <v/>
      </c>
      <c r="AI36" s="251"/>
      <c r="AJ36" s="251" t="str">
        <f>IF(AND('Mapa final'!$J$68="Baja",'Mapa final'!$N$68="Catastrófico"),CONCATENATE("R",'Mapa final'!$A$68),"")</f>
        <v/>
      </c>
      <c r="AK36" s="251"/>
      <c r="AL36" s="251" t="str">
        <f>IF(AND('Mapa final'!$J$74="Baja",'Mapa final'!$N$74="Catastrófico"),CONCATENATE("R",'Mapa final'!$A$74),"")</f>
        <v/>
      </c>
      <c r="AM36" s="252"/>
      <c r="AN36" s="70"/>
      <c r="AO36" s="313"/>
      <c r="AP36" s="314"/>
      <c r="AQ36" s="314"/>
      <c r="AR36" s="314"/>
      <c r="AS36" s="314"/>
      <c r="AT36" s="315"/>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281"/>
      <c r="C37" s="281"/>
      <c r="D37" s="282"/>
      <c r="E37" s="276"/>
      <c r="F37" s="277"/>
      <c r="G37" s="277"/>
      <c r="H37" s="277"/>
      <c r="I37" s="277"/>
      <c r="J37" s="235"/>
      <c r="K37" s="236"/>
      <c r="L37" s="236"/>
      <c r="M37" s="236"/>
      <c r="N37" s="236"/>
      <c r="O37" s="237"/>
      <c r="P37" s="245"/>
      <c r="Q37" s="245"/>
      <c r="R37" s="245"/>
      <c r="S37" s="245"/>
      <c r="T37" s="245"/>
      <c r="U37" s="246"/>
      <c r="V37" s="244"/>
      <c r="W37" s="245"/>
      <c r="X37" s="245"/>
      <c r="Y37" s="245"/>
      <c r="Z37" s="245"/>
      <c r="AA37" s="246"/>
      <c r="AB37" s="263"/>
      <c r="AC37" s="264"/>
      <c r="AD37" s="264"/>
      <c r="AE37" s="264"/>
      <c r="AF37" s="264"/>
      <c r="AG37" s="265"/>
      <c r="AH37" s="253"/>
      <c r="AI37" s="254"/>
      <c r="AJ37" s="254"/>
      <c r="AK37" s="254"/>
      <c r="AL37" s="254"/>
      <c r="AM37" s="255"/>
      <c r="AN37" s="70"/>
      <c r="AO37" s="316"/>
      <c r="AP37" s="317"/>
      <c r="AQ37" s="317"/>
      <c r="AR37" s="317"/>
      <c r="AS37" s="317"/>
      <c r="AT37" s="318"/>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281"/>
      <c r="C38" s="281"/>
      <c r="D38" s="282"/>
      <c r="E38" s="270" t="s">
        <v>109</v>
      </c>
      <c r="F38" s="271"/>
      <c r="G38" s="271"/>
      <c r="H38" s="271"/>
      <c r="I38" s="272"/>
      <c r="J38" s="238" t="str">
        <f>IF(AND('Mapa final'!$J$7="Muy Baja",'Mapa final'!$N$7="Leve"),CONCATENATE("R",'Mapa final'!$A$7),"")</f>
        <v/>
      </c>
      <c r="K38" s="239"/>
      <c r="L38" s="239" t="str">
        <f ca="1">IF(AND('Mapa final'!$J$13="Muy Baja",'Mapa final'!$N$13="Leve"),CONCATENATE("R",'Mapa final'!$A$13),"")</f>
        <v/>
      </c>
      <c r="M38" s="239"/>
      <c r="N38" s="239" t="str">
        <f ca="1">IF(AND('Mapa final'!$J$19="Muy Baja",'Mapa final'!$N$19="Leve"),CONCATENATE("R",'Mapa final'!$A$19),"")</f>
        <v/>
      </c>
      <c r="O38" s="240"/>
      <c r="P38" s="238" t="str">
        <f>IF(AND('Mapa final'!$J$7="Muy Baja",'Mapa final'!$N$7="Menor"),CONCATENATE("R",'Mapa final'!$A$7),"")</f>
        <v/>
      </c>
      <c r="Q38" s="239"/>
      <c r="R38" s="239" t="str">
        <f ca="1">IF(AND('Mapa final'!$J$13="Muy Baja",'Mapa final'!$N$13="Menor"),CONCATENATE("R",'Mapa final'!$A$13),"")</f>
        <v/>
      </c>
      <c r="S38" s="239"/>
      <c r="T38" s="239" t="str">
        <f ca="1">IF(AND('Mapa final'!$J$19="Muy Baja",'Mapa final'!$N$19="Menor"),CONCATENATE("R",'Mapa final'!$A$19),"")</f>
        <v/>
      </c>
      <c r="U38" s="240"/>
      <c r="V38" s="247" t="str">
        <f>IF(AND('Mapa final'!$J$7="Muy Baja",'Mapa final'!$N$7="Moderado"),CONCATENATE("R",'Mapa final'!$A$7),"")</f>
        <v/>
      </c>
      <c r="W38" s="248"/>
      <c r="X38" s="248" t="str">
        <f ca="1">IF(AND('Mapa final'!$J$13="Muy Baja",'Mapa final'!$N$13="Moderado"),CONCATENATE("R",'Mapa final'!$A$13),"")</f>
        <v/>
      </c>
      <c r="Y38" s="248"/>
      <c r="Z38" s="248" t="str">
        <f ca="1">IF(AND('Mapa final'!$J$19="Muy Baja",'Mapa final'!$N$19="Moderado"),CONCATENATE("R",'Mapa final'!$A$19),"")</f>
        <v/>
      </c>
      <c r="AA38" s="249"/>
      <c r="AB38" s="266" t="str">
        <f>IF(AND('Mapa final'!$J$7="Muy Baja",'Mapa final'!$N$7="Mayor"),CONCATENATE("R",'Mapa final'!$A$7),"")</f>
        <v/>
      </c>
      <c r="AC38" s="267"/>
      <c r="AD38" s="267" t="str">
        <f ca="1">IF(AND('Mapa final'!$J$13="Muy Baja",'Mapa final'!$N$13="Mayor"),CONCATENATE("R",'Mapa final'!$A$13),"")</f>
        <v/>
      </c>
      <c r="AE38" s="267"/>
      <c r="AF38" s="267" t="str">
        <f ca="1">IF(AND('Mapa final'!$J$19="Muy Baja",'Mapa final'!$N$19="Mayor"),CONCATENATE("R",'Mapa final'!$A$19),"")</f>
        <v/>
      </c>
      <c r="AG38" s="268"/>
      <c r="AH38" s="256" t="str">
        <f>IF(AND('Mapa final'!$J$7="Muy Baja",'Mapa final'!$N$7="Catastrófico"),CONCATENATE("R",'Mapa final'!$A$7),"")</f>
        <v/>
      </c>
      <c r="AI38" s="257"/>
      <c r="AJ38" s="257" t="str">
        <f ca="1">IF(AND('Mapa final'!$J$13="Muy Baja",'Mapa final'!$N$13="Catastrófico"),CONCATENATE("R",'Mapa final'!$A$13),"")</f>
        <v/>
      </c>
      <c r="AK38" s="257"/>
      <c r="AL38" s="257" t="str">
        <f ca="1">IF(AND('Mapa final'!$J$19="Muy Baja",'Mapa final'!$N$19="Catastrófico"),CONCATENATE("R",'Mapa final'!$A$19),"")</f>
        <v/>
      </c>
      <c r="AM38" s="258"/>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281"/>
      <c r="C39" s="281"/>
      <c r="D39" s="282"/>
      <c r="E39" s="273"/>
      <c r="F39" s="274"/>
      <c r="G39" s="274"/>
      <c r="H39" s="274"/>
      <c r="I39" s="275"/>
      <c r="J39" s="232"/>
      <c r="K39" s="233"/>
      <c r="L39" s="233"/>
      <c r="M39" s="233"/>
      <c r="N39" s="233"/>
      <c r="O39" s="234"/>
      <c r="P39" s="232"/>
      <c r="Q39" s="233"/>
      <c r="R39" s="233"/>
      <c r="S39" s="233"/>
      <c r="T39" s="233"/>
      <c r="U39" s="234"/>
      <c r="V39" s="241"/>
      <c r="W39" s="242"/>
      <c r="X39" s="242"/>
      <c r="Y39" s="242"/>
      <c r="Z39" s="242"/>
      <c r="AA39" s="243"/>
      <c r="AB39" s="259"/>
      <c r="AC39" s="260"/>
      <c r="AD39" s="260"/>
      <c r="AE39" s="260"/>
      <c r="AF39" s="260"/>
      <c r="AG39" s="262"/>
      <c r="AH39" s="250"/>
      <c r="AI39" s="251"/>
      <c r="AJ39" s="251"/>
      <c r="AK39" s="251"/>
      <c r="AL39" s="251"/>
      <c r="AM39" s="252"/>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281"/>
      <c r="C40" s="281"/>
      <c r="D40" s="282"/>
      <c r="E40" s="273"/>
      <c r="F40" s="274"/>
      <c r="G40" s="274"/>
      <c r="H40" s="274"/>
      <c r="I40" s="275"/>
      <c r="J40" s="232" t="str">
        <f ca="1">IF(AND('Mapa final'!$J$25="Muy Baja",'Mapa final'!$N$25="Leve"),CONCATENATE("R",'Mapa final'!$A$25),"")</f>
        <v/>
      </c>
      <c r="K40" s="233"/>
      <c r="L40" s="233" t="str">
        <f ca="1">IF(AND('Mapa final'!$J$31="Muy Baja",'Mapa final'!$N$31="Leve"),CONCATENATE("R",'Mapa final'!$A$31),"")</f>
        <v/>
      </c>
      <c r="M40" s="233"/>
      <c r="N40" s="233" t="str">
        <f ca="1">IF(AND('Mapa final'!$J$37="Muy Baja",'Mapa final'!$N$37="Leve"),CONCATENATE("R",'Mapa final'!$A$37),"")</f>
        <v/>
      </c>
      <c r="O40" s="234"/>
      <c r="P40" s="232" t="str">
        <f ca="1">IF(AND('Mapa final'!$J$25="Muy Baja",'Mapa final'!$N$25="Menor"),CONCATENATE("R",'Mapa final'!$A$25),"")</f>
        <v/>
      </c>
      <c r="Q40" s="233"/>
      <c r="R40" s="233" t="str">
        <f ca="1">IF(AND('Mapa final'!$J$31="Muy Baja",'Mapa final'!$N$31="Menor"),CONCATENATE("R",'Mapa final'!$A$31),"")</f>
        <v/>
      </c>
      <c r="S40" s="233"/>
      <c r="T40" s="233" t="str">
        <f ca="1">IF(AND('Mapa final'!$J$37="Muy Baja",'Mapa final'!$N$37="Menor"),CONCATENATE("R",'Mapa final'!$A$37),"")</f>
        <v/>
      </c>
      <c r="U40" s="234"/>
      <c r="V40" s="241" t="str">
        <f ca="1">IF(AND('Mapa final'!$J$25="Muy Baja",'Mapa final'!$N$25="Moderado"),CONCATENATE("R",'Mapa final'!$A$25),"")</f>
        <v/>
      </c>
      <c r="W40" s="242"/>
      <c r="X40" s="242" t="str">
        <f ca="1">IF(AND('Mapa final'!$J$31="Muy Baja",'Mapa final'!$N$31="Moderado"),CONCATENATE("R",'Mapa final'!$A$31),"")</f>
        <v/>
      </c>
      <c r="Y40" s="242"/>
      <c r="Z40" s="242" t="str">
        <f ca="1">IF(AND('Mapa final'!$J$37="Muy Baja",'Mapa final'!$N$37="Moderado"),CONCATENATE("R",'Mapa final'!$A$37),"")</f>
        <v/>
      </c>
      <c r="AA40" s="243"/>
      <c r="AB40" s="259" t="str">
        <f ca="1">IF(AND('Mapa final'!$J$25="Muy Baja",'Mapa final'!$N$25="Mayor"),CONCATENATE("R",'Mapa final'!$A$25),"")</f>
        <v/>
      </c>
      <c r="AC40" s="260"/>
      <c r="AD40" s="261" t="str">
        <f ca="1">IF(AND('Mapa final'!$J$31="Muy Baja",'Mapa final'!$N$31="Mayor"),CONCATENATE("R",'Mapa final'!$A$31),"")</f>
        <v/>
      </c>
      <c r="AE40" s="261"/>
      <c r="AF40" s="261" t="str">
        <f ca="1">IF(AND('Mapa final'!$J$37="Muy Baja",'Mapa final'!$N$37="Mayor"),CONCATENATE("R",'Mapa final'!$A$37),"")</f>
        <v/>
      </c>
      <c r="AG40" s="262"/>
      <c r="AH40" s="250" t="str">
        <f ca="1">IF(AND('Mapa final'!$J$25="Muy Baja",'Mapa final'!$N$25="Catastrófico"),CONCATENATE("R",'Mapa final'!$A$25),"")</f>
        <v/>
      </c>
      <c r="AI40" s="251"/>
      <c r="AJ40" s="251" t="str">
        <f ca="1">IF(AND('Mapa final'!$J$31="Muy Baja",'Mapa final'!$N$31="Catastrófico"),CONCATENATE("R",'Mapa final'!$A$31),"")</f>
        <v/>
      </c>
      <c r="AK40" s="251"/>
      <c r="AL40" s="251" t="str">
        <f ca="1">IF(AND('Mapa final'!$J$37="Muy Baja",'Mapa final'!$N$37="Catastrófico"),CONCATENATE("R",'Mapa final'!$A$37),"")</f>
        <v/>
      </c>
      <c r="AM40" s="252"/>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281"/>
      <c r="C41" s="281"/>
      <c r="D41" s="282"/>
      <c r="E41" s="273"/>
      <c r="F41" s="274"/>
      <c r="G41" s="274"/>
      <c r="H41" s="274"/>
      <c r="I41" s="275"/>
      <c r="J41" s="232"/>
      <c r="K41" s="233"/>
      <c r="L41" s="233"/>
      <c r="M41" s="233"/>
      <c r="N41" s="233"/>
      <c r="O41" s="234"/>
      <c r="P41" s="232"/>
      <c r="Q41" s="233"/>
      <c r="R41" s="233"/>
      <c r="S41" s="233"/>
      <c r="T41" s="233"/>
      <c r="U41" s="234"/>
      <c r="V41" s="241"/>
      <c r="W41" s="242"/>
      <c r="X41" s="242"/>
      <c r="Y41" s="242"/>
      <c r="Z41" s="242"/>
      <c r="AA41" s="243"/>
      <c r="AB41" s="259"/>
      <c r="AC41" s="260"/>
      <c r="AD41" s="261"/>
      <c r="AE41" s="261"/>
      <c r="AF41" s="261"/>
      <c r="AG41" s="262"/>
      <c r="AH41" s="250"/>
      <c r="AI41" s="251"/>
      <c r="AJ41" s="251"/>
      <c r="AK41" s="251"/>
      <c r="AL41" s="251"/>
      <c r="AM41" s="252"/>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281"/>
      <c r="C42" s="281"/>
      <c r="D42" s="282"/>
      <c r="E42" s="273"/>
      <c r="F42" s="274"/>
      <c r="G42" s="274"/>
      <c r="H42" s="274"/>
      <c r="I42" s="275"/>
      <c r="J42" s="232" t="str">
        <f ca="1">IF(AND('Mapa final'!$J$43="Muy Baja",'Mapa final'!$N$43="Leve"),CONCATENATE("R",'Mapa final'!$A$43),"")</f>
        <v/>
      </c>
      <c r="K42" s="233"/>
      <c r="L42" s="233" t="str">
        <f ca="1">IF(AND('Mapa final'!$J$49="Muy Baja",'Mapa final'!$N$49="Leve"),CONCATENATE("R",'Mapa final'!$A$49),"")</f>
        <v/>
      </c>
      <c r="M42" s="233"/>
      <c r="N42" s="233" t="str">
        <f ca="1">IF(AND('Mapa final'!$J$55="Muy Baja",'Mapa final'!$N$55="Leve"),CONCATENATE("R",'Mapa final'!$A$55),"")</f>
        <v/>
      </c>
      <c r="O42" s="234"/>
      <c r="P42" s="232" t="str">
        <f ca="1">IF(AND('Mapa final'!$J$43="Muy Baja",'Mapa final'!$N$43="Menor"),CONCATENATE("R",'Mapa final'!$A$43),"")</f>
        <v/>
      </c>
      <c r="Q42" s="233"/>
      <c r="R42" s="233" t="str">
        <f ca="1">IF(AND('Mapa final'!$J$49="Muy Baja",'Mapa final'!$N$49="Menor"),CONCATENATE("R",'Mapa final'!$A$49),"")</f>
        <v/>
      </c>
      <c r="S42" s="233"/>
      <c r="T42" s="233" t="str">
        <f ca="1">IF(AND('Mapa final'!$J$55="Muy Baja",'Mapa final'!$N$55="Menor"),CONCATENATE("R",'Mapa final'!$A$55),"")</f>
        <v/>
      </c>
      <c r="U42" s="234"/>
      <c r="V42" s="241" t="str">
        <f ca="1">IF(AND('Mapa final'!$J$43="Muy Baja",'Mapa final'!$N$43="Moderado"),CONCATENATE("R",'Mapa final'!$A$43),"")</f>
        <v/>
      </c>
      <c r="W42" s="242"/>
      <c r="X42" s="242" t="str">
        <f ca="1">IF(AND('Mapa final'!$J$49="Muy Baja",'Mapa final'!$N$49="Moderado"),CONCATENATE("R",'Mapa final'!$A$49),"")</f>
        <v/>
      </c>
      <c r="Y42" s="242"/>
      <c r="Z42" s="242" t="str">
        <f ca="1">IF(AND('Mapa final'!$J$55="Muy Baja",'Mapa final'!$N$55="Moderado"),CONCATENATE("R",'Mapa final'!$A$55),"")</f>
        <v/>
      </c>
      <c r="AA42" s="243"/>
      <c r="AB42" s="259" t="str">
        <f ca="1">IF(AND('Mapa final'!$J$43="Muy Baja",'Mapa final'!$N$43="Mayor"),CONCATENATE("R",'Mapa final'!$A$43),"")</f>
        <v/>
      </c>
      <c r="AC42" s="260"/>
      <c r="AD42" s="261" t="str">
        <f ca="1">IF(AND('Mapa final'!$J$49="Muy Baja",'Mapa final'!$N$49="Mayor"),CONCATENATE("R",'Mapa final'!$A$49),"")</f>
        <v/>
      </c>
      <c r="AE42" s="261"/>
      <c r="AF42" s="261" t="str">
        <f ca="1">IF(AND('Mapa final'!$J$55="Muy Baja",'Mapa final'!$N$55="Mayor"),CONCATENATE("R",'Mapa final'!$A$55),"")</f>
        <v/>
      </c>
      <c r="AG42" s="262"/>
      <c r="AH42" s="250" t="str">
        <f ca="1">IF(AND('Mapa final'!$J$43="Muy Baja",'Mapa final'!$N$43="Catastrófico"),CONCATENATE("R",'Mapa final'!$A$43),"")</f>
        <v/>
      </c>
      <c r="AI42" s="251"/>
      <c r="AJ42" s="251" t="str">
        <f ca="1">IF(AND('Mapa final'!$J$49="Muy Baja",'Mapa final'!$N$49="Catastrófico"),CONCATENATE("R",'Mapa final'!$A$49),"")</f>
        <v/>
      </c>
      <c r="AK42" s="251"/>
      <c r="AL42" s="251" t="str">
        <f ca="1">IF(AND('Mapa final'!$J$55="Muy Baja",'Mapa final'!$N$55="Catastrófico"),CONCATENATE("R",'Mapa final'!$A$55),"")</f>
        <v/>
      </c>
      <c r="AM42" s="252"/>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281"/>
      <c r="C43" s="281"/>
      <c r="D43" s="282"/>
      <c r="E43" s="273"/>
      <c r="F43" s="274"/>
      <c r="G43" s="274"/>
      <c r="H43" s="274"/>
      <c r="I43" s="275"/>
      <c r="J43" s="232"/>
      <c r="K43" s="233"/>
      <c r="L43" s="233"/>
      <c r="M43" s="233"/>
      <c r="N43" s="233"/>
      <c r="O43" s="234"/>
      <c r="P43" s="232"/>
      <c r="Q43" s="233"/>
      <c r="R43" s="233"/>
      <c r="S43" s="233"/>
      <c r="T43" s="233"/>
      <c r="U43" s="234"/>
      <c r="V43" s="241"/>
      <c r="W43" s="242"/>
      <c r="X43" s="242"/>
      <c r="Y43" s="242"/>
      <c r="Z43" s="242"/>
      <c r="AA43" s="243"/>
      <c r="AB43" s="259"/>
      <c r="AC43" s="260"/>
      <c r="AD43" s="261"/>
      <c r="AE43" s="261"/>
      <c r="AF43" s="261"/>
      <c r="AG43" s="262"/>
      <c r="AH43" s="250"/>
      <c r="AI43" s="251"/>
      <c r="AJ43" s="251"/>
      <c r="AK43" s="251"/>
      <c r="AL43" s="251"/>
      <c r="AM43" s="252"/>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281"/>
      <c r="C44" s="281"/>
      <c r="D44" s="282"/>
      <c r="E44" s="273"/>
      <c r="F44" s="274"/>
      <c r="G44" s="274"/>
      <c r="H44" s="274"/>
      <c r="I44" s="275"/>
      <c r="J44" s="232" t="str">
        <f ca="1">IF(AND('Mapa final'!$J$61="Muy Baja",'Mapa final'!$N$61="Leve"),CONCATENATE("R",'Mapa final'!$A$61),"")</f>
        <v/>
      </c>
      <c r="K44" s="233"/>
      <c r="L44" s="233" t="str">
        <f>IF(AND('Mapa final'!$J$68="Muy Baja",'Mapa final'!$N$68="Leve"),CONCATENATE("R",'Mapa final'!$A$68),"")</f>
        <v/>
      </c>
      <c r="M44" s="233"/>
      <c r="N44" s="233" t="str">
        <f>IF(AND('Mapa final'!$J$74="Muy Baja",'Mapa final'!$N$74="Leve"),CONCATENATE("R",'Mapa final'!$A$74),"")</f>
        <v/>
      </c>
      <c r="O44" s="234"/>
      <c r="P44" s="232" t="str">
        <f ca="1">IF(AND('Mapa final'!$J$61="Muy Baja",'Mapa final'!$N$61="Menor"),CONCATENATE("R",'Mapa final'!$A$61),"")</f>
        <v/>
      </c>
      <c r="Q44" s="233"/>
      <c r="R44" s="233" t="str">
        <f>IF(AND('Mapa final'!$J$68="Muy Baja",'Mapa final'!$N$68="Menor"),CONCATENATE("R",'Mapa final'!$A$68),"")</f>
        <v/>
      </c>
      <c r="S44" s="233"/>
      <c r="T44" s="233" t="str">
        <f>IF(AND('Mapa final'!$J$74="Muy Baja",'Mapa final'!$N$74="Menor"),CONCATENATE("R",'Mapa final'!$A$74),"")</f>
        <v/>
      </c>
      <c r="U44" s="234"/>
      <c r="V44" s="241" t="str">
        <f ca="1">IF(AND('Mapa final'!$J$61="Muy Baja",'Mapa final'!$N$61="Moderado"),CONCATENATE("R",'Mapa final'!$A$61),"")</f>
        <v/>
      </c>
      <c r="W44" s="242"/>
      <c r="X44" s="242" t="str">
        <f>IF(AND('Mapa final'!$J$68="Muy Baja",'Mapa final'!$N$68="Moderado"),CONCATENATE("R",'Mapa final'!$A$68),"")</f>
        <v/>
      </c>
      <c r="Y44" s="242"/>
      <c r="Z44" s="242" t="str">
        <f>IF(AND('Mapa final'!$J$74="Muy Baja",'Mapa final'!$N$74="Moderado"),CONCATENATE("R",'Mapa final'!$A$74),"")</f>
        <v/>
      </c>
      <c r="AA44" s="243"/>
      <c r="AB44" s="259" t="str">
        <f ca="1">IF(AND('Mapa final'!$J$61="Muy Baja",'Mapa final'!$N$61="Mayor"),CONCATENATE("R",'Mapa final'!$A$61),"")</f>
        <v/>
      </c>
      <c r="AC44" s="260"/>
      <c r="AD44" s="261" t="str">
        <f>IF(AND('Mapa final'!$J$68="Muy Baja",'Mapa final'!$N$68="Mayor"),CONCATENATE("R",'Mapa final'!$A$68),"")</f>
        <v/>
      </c>
      <c r="AE44" s="261"/>
      <c r="AF44" s="261" t="str">
        <f>IF(AND('Mapa final'!$J$74="Muy Baja",'Mapa final'!$N$74="Mayor"),CONCATENATE("R",'Mapa final'!$A$74),"")</f>
        <v/>
      </c>
      <c r="AG44" s="262"/>
      <c r="AH44" s="250" t="str">
        <f ca="1">IF(AND('Mapa final'!$J$61="Muy Baja",'Mapa final'!$N$61="Catastrófico"),CONCATENATE("R",'Mapa final'!$A$61),"")</f>
        <v/>
      </c>
      <c r="AI44" s="251"/>
      <c r="AJ44" s="251" t="str">
        <f>IF(AND('Mapa final'!$J$68="Muy Baja",'Mapa final'!$N$68="Catastrófico"),CONCATENATE("R",'Mapa final'!$A$68),"")</f>
        <v/>
      </c>
      <c r="AK44" s="251"/>
      <c r="AL44" s="251" t="str">
        <f>IF(AND('Mapa final'!$J$74="Muy Baja",'Mapa final'!$N$74="Catastrófico"),CONCATENATE("R",'Mapa final'!$A$74),"")</f>
        <v/>
      </c>
      <c r="AM44" s="252"/>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281"/>
      <c r="C45" s="281"/>
      <c r="D45" s="282"/>
      <c r="E45" s="276"/>
      <c r="F45" s="277"/>
      <c r="G45" s="277"/>
      <c r="H45" s="277"/>
      <c r="I45" s="278"/>
      <c r="J45" s="235"/>
      <c r="K45" s="236"/>
      <c r="L45" s="236"/>
      <c r="M45" s="236"/>
      <c r="N45" s="236"/>
      <c r="O45" s="237"/>
      <c r="P45" s="235"/>
      <c r="Q45" s="236"/>
      <c r="R45" s="236"/>
      <c r="S45" s="236"/>
      <c r="T45" s="236"/>
      <c r="U45" s="237"/>
      <c r="V45" s="244"/>
      <c r="W45" s="245"/>
      <c r="X45" s="245"/>
      <c r="Y45" s="245"/>
      <c r="Z45" s="245"/>
      <c r="AA45" s="246"/>
      <c r="AB45" s="263"/>
      <c r="AC45" s="264"/>
      <c r="AD45" s="264"/>
      <c r="AE45" s="264"/>
      <c r="AF45" s="264"/>
      <c r="AG45" s="265"/>
      <c r="AH45" s="253"/>
      <c r="AI45" s="254"/>
      <c r="AJ45" s="254"/>
      <c r="AK45" s="254"/>
      <c r="AL45" s="254"/>
      <c r="AM45" s="255"/>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70" t="s">
        <v>108</v>
      </c>
      <c r="K46" s="271"/>
      <c r="L46" s="271"/>
      <c r="M46" s="271"/>
      <c r="N46" s="271"/>
      <c r="O46" s="272"/>
      <c r="P46" s="270" t="s">
        <v>107</v>
      </c>
      <c r="Q46" s="271"/>
      <c r="R46" s="271"/>
      <c r="S46" s="271"/>
      <c r="T46" s="271"/>
      <c r="U46" s="272"/>
      <c r="V46" s="270" t="s">
        <v>106</v>
      </c>
      <c r="W46" s="271"/>
      <c r="X46" s="271"/>
      <c r="Y46" s="271"/>
      <c r="Z46" s="271"/>
      <c r="AA46" s="272"/>
      <c r="AB46" s="270" t="s">
        <v>105</v>
      </c>
      <c r="AC46" s="280"/>
      <c r="AD46" s="271"/>
      <c r="AE46" s="271"/>
      <c r="AF46" s="271"/>
      <c r="AG46" s="272"/>
      <c r="AH46" s="270" t="s">
        <v>104</v>
      </c>
      <c r="AI46" s="271"/>
      <c r="AJ46" s="271"/>
      <c r="AK46" s="271"/>
      <c r="AL46" s="271"/>
      <c r="AM46" s="272"/>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73"/>
      <c r="K47" s="274"/>
      <c r="L47" s="274"/>
      <c r="M47" s="274"/>
      <c r="N47" s="274"/>
      <c r="O47" s="275"/>
      <c r="P47" s="273"/>
      <c r="Q47" s="274"/>
      <c r="R47" s="274"/>
      <c r="S47" s="274"/>
      <c r="T47" s="274"/>
      <c r="U47" s="275"/>
      <c r="V47" s="273"/>
      <c r="W47" s="274"/>
      <c r="X47" s="274"/>
      <c r="Y47" s="274"/>
      <c r="Z47" s="274"/>
      <c r="AA47" s="275"/>
      <c r="AB47" s="273"/>
      <c r="AC47" s="274"/>
      <c r="AD47" s="274"/>
      <c r="AE47" s="274"/>
      <c r="AF47" s="274"/>
      <c r="AG47" s="275"/>
      <c r="AH47" s="273"/>
      <c r="AI47" s="274"/>
      <c r="AJ47" s="274"/>
      <c r="AK47" s="274"/>
      <c r="AL47" s="274"/>
      <c r="AM47" s="275"/>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73"/>
      <c r="K48" s="274"/>
      <c r="L48" s="274"/>
      <c r="M48" s="274"/>
      <c r="N48" s="274"/>
      <c r="O48" s="275"/>
      <c r="P48" s="273"/>
      <c r="Q48" s="274"/>
      <c r="R48" s="274"/>
      <c r="S48" s="274"/>
      <c r="T48" s="274"/>
      <c r="U48" s="275"/>
      <c r="V48" s="273"/>
      <c r="W48" s="274"/>
      <c r="X48" s="274"/>
      <c r="Y48" s="274"/>
      <c r="Z48" s="274"/>
      <c r="AA48" s="275"/>
      <c r="AB48" s="273"/>
      <c r="AC48" s="274"/>
      <c r="AD48" s="274"/>
      <c r="AE48" s="274"/>
      <c r="AF48" s="274"/>
      <c r="AG48" s="275"/>
      <c r="AH48" s="273"/>
      <c r="AI48" s="274"/>
      <c r="AJ48" s="274"/>
      <c r="AK48" s="274"/>
      <c r="AL48" s="274"/>
      <c r="AM48" s="275"/>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73"/>
      <c r="K49" s="274"/>
      <c r="L49" s="274"/>
      <c r="M49" s="274"/>
      <c r="N49" s="274"/>
      <c r="O49" s="275"/>
      <c r="P49" s="273"/>
      <c r="Q49" s="274"/>
      <c r="R49" s="274"/>
      <c r="S49" s="274"/>
      <c r="T49" s="274"/>
      <c r="U49" s="275"/>
      <c r="V49" s="273"/>
      <c r="W49" s="274"/>
      <c r="X49" s="274"/>
      <c r="Y49" s="274"/>
      <c r="Z49" s="274"/>
      <c r="AA49" s="275"/>
      <c r="AB49" s="273"/>
      <c r="AC49" s="274"/>
      <c r="AD49" s="274"/>
      <c r="AE49" s="274"/>
      <c r="AF49" s="274"/>
      <c r="AG49" s="275"/>
      <c r="AH49" s="273"/>
      <c r="AI49" s="274"/>
      <c r="AJ49" s="274"/>
      <c r="AK49" s="274"/>
      <c r="AL49" s="274"/>
      <c r="AM49" s="275"/>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73"/>
      <c r="K50" s="274"/>
      <c r="L50" s="274"/>
      <c r="M50" s="274"/>
      <c r="N50" s="274"/>
      <c r="O50" s="275"/>
      <c r="P50" s="273"/>
      <c r="Q50" s="274"/>
      <c r="R50" s="274"/>
      <c r="S50" s="274"/>
      <c r="T50" s="274"/>
      <c r="U50" s="275"/>
      <c r="V50" s="273"/>
      <c r="W50" s="274"/>
      <c r="X50" s="274"/>
      <c r="Y50" s="274"/>
      <c r="Z50" s="274"/>
      <c r="AA50" s="275"/>
      <c r="AB50" s="273"/>
      <c r="AC50" s="274"/>
      <c r="AD50" s="274"/>
      <c r="AE50" s="274"/>
      <c r="AF50" s="274"/>
      <c r="AG50" s="275"/>
      <c r="AH50" s="273"/>
      <c r="AI50" s="274"/>
      <c r="AJ50" s="274"/>
      <c r="AK50" s="274"/>
      <c r="AL50" s="274"/>
      <c r="AM50" s="275"/>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76"/>
      <c r="K51" s="277"/>
      <c r="L51" s="277"/>
      <c r="M51" s="277"/>
      <c r="N51" s="277"/>
      <c r="O51" s="278"/>
      <c r="P51" s="276"/>
      <c r="Q51" s="277"/>
      <c r="R51" s="277"/>
      <c r="S51" s="277"/>
      <c r="T51" s="277"/>
      <c r="U51" s="278"/>
      <c r="V51" s="276"/>
      <c r="W51" s="277"/>
      <c r="X51" s="277"/>
      <c r="Y51" s="277"/>
      <c r="Z51" s="277"/>
      <c r="AA51" s="278"/>
      <c r="AB51" s="276"/>
      <c r="AC51" s="277"/>
      <c r="AD51" s="277"/>
      <c r="AE51" s="277"/>
      <c r="AF51" s="277"/>
      <c r="AG51" s="278"/>
      <c r="AH51" s="276"/>
      <c r="AI51" s="277"/>
      <c r="AJ51" s="277"/>
      <c r="AK51" s="277"/>
      <c r="AL51" s="277"/>
      <c r="AM51" s="278"/>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M248"/>
  <sheetViews>
    <sheetView topLeftCell="A10" zoomScale="40" zoomScaleNormal="40" workbookViewId="0">
      <selection activeCell="M46" sqref="M4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49" t="s">
        <v>153</v>
      </c>
      <c r="C2" s="350"/>
      <c r="D2" s="350"/>
      <c r="E2" s="350"/>
      <c r="F2" s="350"/>
      <c r="G2" s="350"/>
      <c r="H2" s="350"/>
      <c r="I2" s="350"/>
      <c r="J2" s="269" t="s">
        <v>2</v>
      </c>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50"/>
      <c r="C3" s="350"/>
      <c r="D3" s="350"/>
      <c r="E3" s="350"/>
      <c r="F3" s="350"/>
      <c r="G3" s="350"/>
      <c r="H3" s="350"/>
      <c r="I3" s="350"/>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50"/>
      <c r="C4" s="350"/>
      <c r="D4" s="350"/>
      <c r="E4" s="350"/>
      <c r="F4" s="350"/>
      <c r="G4" s="350"/>
      <c r="H4" s="350"/>
      <c r="I4" s="350"/>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81" t="s">
        <v>3</v>
      </c>
      <c r="C6" s="281"/>
      <c r="D6" s="282"/>
      <c r="E6" s="319" t="s">
        <v>112</v>
      </c>
      <c r="F6" s="320"/>
      <c r="G6" s="320"/>
      <c r="H6" s="320"/>
      <c r="I6" s="321"/>
      <c r="J6" s="32" t="str">
        <f>IF(AND('Mapa final'!$AA$7="Muy Alta",'Mapa final'!$AC$7="Leve"),CONCATENATE("R1C",'Mapa final'!$Q$7),"")</f>
        <v/>
      </c>
      <c r="K6" s="33" t="str">
        <f>IF(AND('Mapa final'!$AA$8="Muy Alta",'Mapa final'!$AC$8="Leve"),CONCATENATE("R1C",'Mapa final'!$Q$8),"")</f>
        <v/>
      </c>
      <c r="L6" s="33" t="str">
        <f>IF(AND('Mapa final'!$AA$9="Muy Alta",'Mapa final'!$AC$9="Leve"),CONCATENATE("R1C",'Mapa final'!$Q$9),"")</f>
        <v/>
      </c>
      <c r="M6" s="33" t="str">
        <f>IF(AND('Mapa final'!$AA$10="Muy Alta",'Mapa final'!$AC$10="Leve"),CONCATENATE("R1C",'Mapa final'!$Q$10),"")</f>
        <v/>
      </c>
      <c r="N6" s="33" t="str">
        <f>IF(AND('Mapa final'!$AA$11="Muy Alta",'Mapa final'!$AC$11="Leve"),CONCATENATE("R1C",'Mapa final'!$Q$11),"")</f>
        <v/>
      </c>
      <c r="O6" s="34" t="str">
        <f>IF(AND('Mapa final'!$AA$12="Muy Alta",'Mapa final'!$AC$12="Leve"),CONCATENATE("R1C",'Mapa final'!$Q$12),"")</f>
        <v/>
      </c>
      <c r="P6" s="32" t="str">
        <f>IF(AND('Mapa final'!$AA$7="Muy Alta",'Mapa final'!$AC$7="Menor"),CONCATENATE("R1C",'Mapa final'!$Q$7),"")</f>
        <v/>
      </c>
      <c r="Q6" s="33" t="str">
        <f>IF(AND('Mapa final'!$AA$8="Muy Alta",'Mapa final'!$AC$8="Menor"),CONCATENATE("R1C",'Mapa final'!$Q$8),"")</f>
        <v/>
      </c>
      <c r="R6" s="33" t="str">
        <f>IF(AND('Mapa final'!$AA$9="Muy Alta",'Mapa final'!$AC$9="Menor"),CONCATENATE("R1C",'Mapa final'!$Q$9),"")</f>
        <v/>
      </c>
      <c r="S6" s="33" t="str">
        <f>IF(AND('Mapa final'!$AA$10="Muy Alta",'Mapa final'!$AC$10="Menor"),CONCATENATE("R1C",'Mapa final'!$Q$10),"")</f>
        <v/>
      </c>
      <c r="T6" s="33" t="str">
        <f>IF(AND('Mapa final'!$AA$11="Muy Alta",'Mapa final'!$AC$11="Menor"),CONCATENATE("R1C",'Mapa final'!$Q$11),"")</f>
        <v/>
      </c>
      <c r="U6" s="34" t="str">
        <f>IF(AND('Mapa final'!$AA$12="Muy Alta",'Mapa final'!$AC$12="Menor"),CONCATENATE("R1C",'Mapa final'!$Q$12),"")</f>
        <v/>
      </c>
      <c r="V6" s="32" t="str">
        <f>IF(AND('Mapa final'!$AA$7="Muy Alta",'Mapa final'!$AC$7="Moderado"),CONCATENATE("R1C",'Mapa final'!$Q$7),"")</f>
        <v/>
      </c>
      <c r="W6" s="33" t="str">
        <f>IF(AND('Mapa final'!$AA$8="Muy Alta",'Mapa final'!$AC$8="Moderado"),CONCATENATE("R1C",'Mapa final'!$Q$8),"")</f>
        <v/>
      </c>
      <c r="X6" s="33" t="str">
        <f>IF(AND('Mapa final'!$AA$9="Muy Alta",'Mapa final'!$AC$9="Moderado"),CONCATENATE("R1C",'Mapa final'!$Q$9),"")</f>
        <v/>
      </c>
      <c r="Y6" s="33" t="str">
        <f>IF(AND('Mapa final'!$AA$10="Muy Alta",'Mapa final'!$AC$10="Moderado"),CONCATENATE("R1C",'Mapa final'!$Q$10),"")</f>
        <v/>
      </c>
      <c r="Z6" s="33" t="str">
        <f>IF(AND('Mapa final'!$AA$11="Muy Alta",'Mapa final'!$AC$11="Moderado"),CONCATENATE("R1C",'Mapa final'!$Q$11),"")</f>
        <v/>
      </c>
      <c r="AA6" s="34" t="str">
        <f>IF(AND('Mapa final'!$AA$12="Muy Alta",'Mapa final'!$AC$12="Moderado"),CONCATENATE("R1C",'Mapa final'!$Q$12),"")</f>
        <v/>
      </c>
      <c r="AB6" s="32" t="str">
        <f>IF(AND('Mapa final'!$AA$7="Muy Alta",'Mapa final'!$AC$7="Mayor"),CONCATENATE("R1C",'Mapa final'!$Q$7),"")</f>
        <v/>
      </c>
      <c r="AC6" s="33" t="str">
        <f>IF(AND('Mapa final'!$AA$8="Muy Alta",'Mapa final'!$AC$8="Mayor"),CONCATENATE("R1C",'Mapa final'!$Q$8),"")</f>
        <v/>
      </c>
      <c r="AD6" s="33" t="str">
        <f>IF(AND('Mapa final'!$AA$9="Muy Alta",'Mapa final'!$AC$9="Mayor"),CONCATENATE("R1C",'Mapa final'!$Q$9),"")</f>
        <v/>
      </c>
      <c r="AE6" s="33" t="str">
        <f>IF(AND('Mapa final'!$AA$10="Muy Alta",'Mapa final'!$AC$10="Mayor"),CONCATENATE("R1C",'Mapa final'!$Q$10),"")</f>
        <v/>
      </c>
      <c r="AF6" s="33" t="str">
        <f>IF(AND('Mapa final'!$AA$11="Muy Alta",'Mapa final'!$AC$11="Mayor"),CONCATENATE("R1C",'Mapa final'!$Q$11),"")</f>
        <v/>
      </c>
      <c r="AG6" s="34" t="str">
        <f>IF(AND('Mapa final'!$AA$12="Muy Alta",'Mapa final'!$AC$12="Mayor"),CONCATENATE("R1C",'Mapa final'!$Q$12),"")</f>
        <v/>
      </c>
      <c r="AH6" s="35" t="str">
        <f>IF(AND('Mapa final'!$AA$7="Muy Alta",'Mapa final'!$AC$7="Catastrófico"),CONCATENATE("R1C",'Mapa final'!$Q$7),"")</f>
        <v/>
      </c>
      <c r="AI6" s="36" t="str">
        <f>IF(AND('Mapa final'!$AA$8="Muy Alta",'Mapa final'!$AC$8="Catastrófico"),CONCATENATE("R1C",'Mapa final'!$Q$8),"")</f>
        <v/>
      </c>
      <c r="AJ6" s="36" t="str">
        <f>IF(AND('Mapa final'!$AA$9="Muy Alta",'Mapa final'!$AC$9="Catastrófico"),CONCATENATE("R1C",'Mapa final'!$Q$9),"")</f>
        <v/>
      </c>
      <c r="AK6" s="36" t="str">
        <f>IF(AND('Mapa final'!$AA$10="Muy Alta",'Mapa final'!$AC$10="Catastrófico"),CONCATENATE("R1C",'Mapa final'!$Q$10),"")</f>
        <v/>
      </c>
      <c r="AL6" s="36" t="str">
        <f>IF(AND('Mapa final'!$AA$11="Muy Alta",'Mapa final'!$AC$11="Catastrófico"),CONCATENATE("R1C",'Mapa final'!$Q$11),"")</f>
        <v/>
      </c>
      <c r="AM6" s="37" t="str">
        <f>IF(AND('Mapa final'!$AA$12="Muy Alta",'Mapa final'!$AC$12="Catastrófico"),CONCATENATE("R1C",'Mapa final'!$Q$12),"")</f>
        <v/>
      </c>
      <c r="AN6" s="70"/>
      <c r="AO6" s="340" t="s">
        <v>75</v>
      </c>
      <c r="AP6" s="341"/>
      <c r="AQ6" s="341"/>
      <c r="AR6" s="341"/>
      <c r="AS6" s="341"/>
      <c r="AT6" s="342"/>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81"/>
      <c r="C7" s="281"/>
      <c r="D7" s="282"/>
      <c r="E7" s="322"/>
      <c r="F7" s="323"/>
      <c r="G7" s="323"/>
      <c r="H7" s="323"/>
      <c r="I7" s="324"/>
      <c r="J7" s="38" t="str">
        <f ca="1">IF(AND('Mapa final'!$AA$13="Muy Alta",'Mapa final'!$AC$13="Leve"),CONCATENATE("R2C",'Mapa final'!$Q$13),"")</f>
        <v/>
      </c>
      <c r="K7" s="39" t="str">
        <f>IF(AND('Mapa final'!$AA$14="Muy Alta",'Mapa final'!$AC$14="Leve"),CONCATENATE("R2C",'Mapa final'!$Q$14),"")</f>
        <v/>
      </c>
      <c r="L7" s="39" t="str">
        <f>IF(AND('Mapa final'!$AA$15="Muy Alta",'Mapa final'!$AC$15="Leve"),CONCATENATE("R2C",'Mapa final'!$Q$15),"")</f>
        <v/>
      </c>
      <c r="M7" s="39" t="str">
        <f>IF(AND('Mapa final'!$AA$16="Muy Alta",'Mapa final'!$AC$16="Leve"),CONCATENATE("R2C",'Mapa final'!$Q$16),"")</f>
        <v/>
      </c>
      <c r="N7" s="39" t="str">
        <f>IF(AND('Mapa final'!$AA$17="Muy Alta",'Mapa final'!$AC$17="Leve"),CONCATENATE("R2C",'Mapa final'!$Q$17),"")</f>
        <v/>
      </c>
      <c r="O7" s="40" t="str">
        <f>IF(AND('Mapa final'!$AA$18="Muy Alta",'Mapa final'!$AC$18="Leve"),CONCATENATE("R2C",'Mapa final'!$Q$18),"")</f>
        <v/>
      </c>
      <c r="P7" s="38" t="str">
        <f ca="1">IF(AND('Mapa final'!$AA$13="Muy Alta",'Mapa final'!$AC$13="Menor"),CONCATENATE("R2C",'Mapa final'!$Q$13),"")</f>
        <v/>
      </c>
      <c r="Q7" s="39" t="str">
        <f>IF(AND('Mapa final'!$AA$14="Muy Alta",'Mapa final'!$AC$14="Menor"),CONCATENATE("R2C",'Mapa final'!$Q$14),"")</f>
        <v/>
      </c>
      <c r="R7" s="39" t="str">
        <f>IF(AND('Mapa final'!$AA$15="Muy Alta",'Mapa final'!$AC$15="Menor"),CONCATENATE("R2C",'Mapa final'!$Q$15),"")</f>
        <v/>
      </c>
      <c r="S7" s="39" t="str">
        <f>IF(AND('Mapa final'!$AA$16="Muy Alta",'Mapa final'!$AC$16="Menor"),CONCATENATE("R2C",'Mapa final'!$Q$16),"")</f>
        <v/>
      </c>
      <c r="T7" s="39" t="str">
        <f>IF(AND('Mapa final'!$AA$17="Muy Alta",'Mapa final'!$AC$17="Menor"),CONCATENATE("R2C",'Mapa final'!$Q$17),"")</f>
        <v/>
      </c>
      <c r="U7" s="40" t="str">
        <f>IF(AND('Mapa final'!$AA$18="Muy Alta",'Mapa final'!$AC$18="Menor"),CONCATENATE("R2C",'Mapa final'!$Q$18),"")</f>
        <v/>
      </c>
      <c r="V7" s="38" t="str">
        <f ca="1">IF(AND('Mapa final'!$AA$13="Muy Alta",'Mapa final'!$AC$13="Moderado"),CONCATENATE("R2C",'Mapa final'!$Q$13),"")</f>
        <v/>
      </c>
      <c r="W7" s="39" t="str">
        <f>IF(AND('Mapa final'!$AA$14="Muy Alta",'Mapa final'!$AC$14="Moderado"),CONCATENATE("R2C",'Mapa final'!$Q$14),"")</f>
        <v/>
      </c>
      <c r="X7" s="39" t="str">
        <f>IF(AND('Mapa final'!$AA$15="Muy Alta",'Mapa final'!$AC$15="Moderado"),CONCATENATE("R2C",'Mapa final'!$Q$15),"")</f>
        <v/>
      </c>
      <c r="Y7" s="39" t="str">
        <f>IF(AND('Mapa final'!$AA$16="Muy Alta",'Mapa final'!$AC$16="Moderado"),CONCATENATE("R2C",'Mapa final'!$Q$16),"")</f>
        <v/>
      </c>
      <c r="Z7" s="39" t="str">
        <f>IF(AND('Mapa final'!$AA$17="Muy Alta",'Mapa final'!$AC$17="Moderado"),CONCATENATE("R2C",'Mapa final'!$Q$17),"")</f>
        <v/>
      </c>
      <c r="AA7" s="40" t="str">
        <f>IF(AND('Mapa final'!$AA$18="Muy Alta",'Mapa final'!$AC$18="Moderado"),CONCATENATE("R2C",'Mapa final'!$Q$18),"")</f>
        <v/>
      </c>
      <c r="AB7" s="38" t="str">
        <f ca="1">IF(AND('Mapa final'!$AA$13="Muy Alta",'Mapa final'!$AC$13="Mayor"),CONCATENATE("R2C",'Mapa final'!$Q$13),"")</f>
        <v/>
      </c>
      <c r="AC7" s="39" t="str">
        <f>IF(AND('Mapa final'!$AA$14="Muy Alta",'Mapa final'!$AC$14="Mayor"),CONCATENATE("R2C",'Mapa final'!$Q$14),"")</f>
        <v/>
      </c>
      <c r="AD7" s="39" t="str">
        <f>IF(AND('Mapa final'!$AA$15="Muy Alta",'Mapa final'!$AC$15="Mayor"),CONCATENATE("R2C",'Mapa final'!$Q$15),"")</f>
        <v/>
      </c>
      <c r="AE7" s="39" t="str">
        <f>IF(AND('Mapa final'!$AA$16="Muy Alta",'Mapa final'!$AC$16="Mayor"),CONCATENATE("R2C",'Mapa final'!$Q$16),"")</f>
        <v/>
      </c>
      <c r="AF7" s="39" t="str">
        <f>IF(AND('Mapa final'!$AA$17="Muy Alta",'Mapa final'!$AC$17="Mayor"),CONCATENATE("R2C",'Mapa final'!$Q$17),"")</f>
        <v/>
      </c>
      <c r="AG7" s="40" t="str">
        <f>IF(AND('Mapa final'!$AA$18="Muy Alta",'Mapa final'!$AC$18="Mayor"),CONCATENATE("R2C",'Mapa final'!$Q$18),"")</f>
        <v/>
      </c>
      <c r="AH7" s="41" t="str">
        <f ca="1">IF(AND('Mapa final'!$AA$13="Muy Alta",'Mapa final'!$AC$13="Catastrófico"),CONCATENATE("R2C",'Mapa final'!$Q$13),"")</f>
        <v/>
      </c>
      <c r="AI7" s="42" t="str">
        <f>IF(AND('Mapa final'!$AA$14="Muy Alta",'Mapa final'!$AC$14="Catastrófico"),CONCATENATE("R2C",'Mapa final'!$Q$14),"")</f>
        <v/>
      </c>
      <c r="AJ7" s="42" t="str">
        <f>IF(AND('Mapa final'!$AA$15="Muy Alta",'Mapa final'!$AC$15="Catastrófico"),CONCATENATE("R2C",'Mapa final'!$Q$15),"")</f>
        <v/>
      </c>
      <c r="AK7" s="42" t="str">
        <f>IF(AND('Mapa final'!$AA$16="Muy Alta",'Mapa final'!$AC$16="Catastrófico"),CONCATENATE("R2C",'Mapa final'!$Q$16),"")</f>
        <v/>
      </c>
      <c r="AL7" s="42" t="str">
        <f>IF(AND('Mapa final'!$AA$17="Muy Alta",'Mapa final'!$AC$17="Catastrófico"),CONCATENATE("R2C",'Mapa final'!$Q$17),"")</f>
        <v/>
      </c>
      <c r="AM7" s="43" t="str">
        <f>IF(AND('Mapa final'!$AA$18="Muy Alta",'Mapa final'!$AC$18="Catastrófico"),CONCATENATE("R2C",'Mapa final'!$Q$18),"")</f>
        <v/>
      </c>
      <c r="AN7" s="70"/>
      <c r="AO7" s="343"/>
      <c r="AP7" s="344"/>
      <c r="AQ7" s="344"/>
      <c r="AR7" s="344"/>
      <c r="AS7" s="344"/>
      <c r="AT7" s="345"/>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81"/>
      <c r="C8" s="281"/>
      <c r="D8" s="282"/>
      <c r="E8" s="322"/>
      <c r="F8" s="323"/>
      <c r="G8" s="323"/>
      <c r="H8" s="323"/>
      <c r="I8" s="324"/>
      <c r="J8" s="38" t="str">
        <f>IF(AND('Mapa final'!$AA$19="Muy Alta",'Mapa final'!$AC$19="Leve"),CONCATENATE("R3C",'Mapa final'!$Q$19),"")</f>
        <v/>
      </c>
      <c r="K8" s="39" t="str">
        <f>IF(AND('Mapa final'!$AA$20="Muy Alta",'Mapa final'!$AC$20="Leve"),CONCATENATE("R3C",'Mapa final'!$Q$20),"")</f>
        <v/>
      </c>
      <c r="L8" s="39" t="str">
        <f>IF(AND('Mapa final'!$AA$21="Muy Alta",'Mapa final'!$AC$21="Leve"),CONCATENATE("R3C",'Mapa final'!$Q$21),"")</f>
        <v/>
      </c>
      <c r="M8" s="39" t="str">
        <f>IF(AND('Mapa final'!$AA$22="Muy Alta",'Mapa final'!$AC$22="Leve"),CONCATENATE("R3C",'Mapa final'!$Q$22),"")</f>
        <v/>
      </c>
      <c r="N8" s="39" t="str">
        <f>IF(AND('Mapa final'!$AA$23="Muy Alta",'Mapa final'!$AC$23="Leve"),CONCATENATE("R3C",'Mapa final'!$Q$23),"")</f>
        <v/>
      </c>
      <c r="O8" s="40" t="str">
        <f>IF(AND('Mapa final'!$AA$24="Muy Alta",'Mapa final'!$AC$24="Leve"),CONCATENATE("R3C",'Mapa final'!$Q$24),"")</f>
        <v/>
      </c>
      <c r="P8" s="38" t="str">
        <f>IF(AND('Mapa final'!$AA$19="Muy Alta",'Mapa final'!$AC$19="Menor"),CONCATENATE("R3C",'Mapa final'!$Q$19),"")</f>
        <v/>
      </c>
      <c r="Q8" s="39" t="str">
        <f>IF(AND('Mapa final'!$AA$20="Muy Alta",'Mapa final'!$AC$20="Menor"),CONCATENATE("R3C",'Mapa final'!$Q$20),"")</f>
        <v/>
      </c>
      <c r="R8" s="39" t="str">
        <f>IF(AND('Mapa final'!$AA$21="Muy Alta",'Mapa final'!$AC$21="Menor"),CONCATENATE("R3C",'Mapa final'!$Q$21),"")</f>
        <v/>
      </c>
      <c r="S8" s="39" t="str">
        <f>IF(AND('Mapa final'!$AA$22="Muy Alta",'Mapa final'!$AC$22="Menor"),CONCATENATE("R3C",'Mapa final'!$Q$22),"")</f>
        <v/>
      </c>
      <c r="T8" s="39" t="str">
        <f>IF(AND('Mapa final'!$AA$23="Muy Alta",'Mapa final'!$AC$23="Menor"),CONCATENATE("R3C",'Mapa final'!$Q$23),"")</f>
        <v/>
      </c>
      <c r="U8" s="40" t="str">
        <f>IF(AND('Mapa final'!$AA$24="Muy Alta",'Mapa final'!$AC$24="Menor"),CONCATENATE("R3C",'Mapa final'!$Q$24),"")</f>
        <v/>
      </c>
      <c r="V8" s="38" t="str">
        <f>IF(AND('Mapa final'!$AA$19="Muy Alta",'Mapa final'!$AC$19="Moderado"),CONCATENATE("R3C",'Mapa final'!$Q$19),"")</f>
        <v/>
      </c>
      <c r="W8" s="39" t="str">
        <f>IF(AND('Mapa final'!$AA$20="Muy Alta",'Mapa final'!$AC$20="Moderado"),CONCATENATE("R3C",'Mapa final'!$Q$20),"")</f>
        <v/>
      </c>
      <c r="X8" s="39" t="str">
        <f>IF(AND('Mapa final'!$AA$21="Muy Alta",'Mapa final'!$AC$21="Moderado"),CONCATENATE("R3C",'Mapa final'!$Q$21),"")</f>
        <v/>
      </c>
      <c r="Y8" s="39" t="str">
        <f>IF(AND('Mapa final'!$AA$22="Muy Alta",'Mapa final'!$AC$22="Moderado"),CONCATENATE("R3C",'Mapa final'!$Q$22),"")</f>
        <v/>
      </c>
      <c r="Z8" s="39" t="str">
        <f>IF(AND('Mapa final'!$AA$23="Muy Alta",'Mapa final'!$AC$23="Moderado"),CONCATENATE("R3C",'Mapa final'!$Q$23),"")</f>
        <v/>
      </c>
      <c r="AA8" s="40" t="str">
        <f>IF(AND('Mapa final'!$AA$24="Muy Alta",'Mapa final'!$AC$24="Moderado"),CONCATENATE("R3C",'Mapa final'!$Q$24),"")</f>
        <v/>
      </c>
      <c r="AB8" s="38" t="str">
        <f>IF(AND('Mapa final'!$AA$19="Muy Alta",'Mapa final'!$AC$19="Mayor"),CONCATENATE("R3C",'Mapa final'!$Q$19),"")</f>
        <v/>
      </c>
      <c r="AC8" s="39" t="str">
        <f>IF(AND('Mapa final'!$AA$20="Muy Alta",'Mapa final'!$AC$20="Mayor"),CONCATENATE("R3C",'Mapa final'!$Q$20),"")</f>
        <v/>
      </c>
      <c r="AD8" s="39" t="str">
        <f>IF(AND('Mapa final'!$AA$21="Muy Alta",'Mapa final'!$AC$21="Mayor"),CONCATENATE("R3C",'Mapa final'!$Q$21),"")</f>
        <v/>
      </c>
      <c r="AE8" s="39" t="str">
        <f>IF(AND('Mapa final'!$AA$22="Muy Alta",'Mapa final'!$AC$22="Mayor"),CONCATENATE("R3C",'Mapa final'!$Q$22),"")</f>
        <v/>
      </c>
      <c r="AF8" s="39" t="str">
        <f>IF(AND('Mapa final'!$AA$23="Muy Alta",'Mapa final'!$AC$23="Mayor"),CONCATENATE("R3C",'Mapa final'!$Q$23),"")</f>
        <v/>
      </c>
      <c r="AG8" s="40" t="str">
        <f>IF(AND('Mapa final'!$AA$24="Muy Alta",'Mapa final'!$AC$24="Mayor"),CONCATENATE("R3C",'Mapa final'!$Q$24),"")</f>
        <v/>
      </c>
      <c r="AH8" s="41" t="str">
        <f>IF(AND('Mapa final'!$AA$19="Muy Alta",'Mapa final'!$AC$19="Catastrófico"),CONCATENATE("R3C",'Mapa final'!$Q$19),"")</f>
        <v/>
      </c>
      <c r="AI8" s="42" t="str">
        <f>IF(AND('Mapa final'!$AA$20="Muy Alta",'Mapa final'!$AC$20="Catastrófico"),CONCATENATE("R3C",'Mapa final'!$Q$20),"")</f>
        <v/>
      </c>
      <c r="AJ8" s="42" t="str">
        <f>IF(AND('Mapa final'!$AA$21="Muy Alta",'Mapa final'!$AC$21="Catastrófico"),CONCATENATE("R3C",'Mapa final'!$Q$21),"")</f>
        <v/>
      </c>
      <c r="AK8" s="42" t="str">
        <f>IF(AND('Mapa final'!$AA$22="Muy Alta",'Mapa final'!$AC$22="Catastrófico"),CONCATENATE("R3C",'Mapa final'!$Q$22),"")</f>
        <v/>
      </c>
      <c r="AL8" s="42" t="str">
        <f>IF(AND('Mapa final'!$AA$23="Muy Alta",'Mapa final'!$AC$23="Catastrófico"),CONCATENATE("R3C",'Mapa final'!$Q$23),"")</f>
        <v/>
      </c>
      <c r="AM8" s="43" t="str">
        <f>IF(AND('Mapa final'!$AA$24="Muy Alta",'Mapa final'!$AC$24="Catastrófico"),CONCATENATE("R3C",'Mapa final'!$Q$24),"")</f>
        <v/>
      </c>
      <c r="AN8" s="70"/>
      <c r="AO8" s="343"/>
      <c r="AP8" s="344"/>
      <c r="AQ8" s="344"/>
      <c r="AR8" s="344"/>
      <c r="AS8" s="344"/>
      <c r="AT8" s="345"/>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81"/>
      <c r="C9" s="281"/>
      <c r="D9" s="282"/>
      <c r="E9" s="322"/>
      <c r="F9" s="323"/>
      <c r="G9" s="323"/>
      <c r="H9" s="323"/>
      <c r="I9" s="324"/>
      <c r="J9" s="38" t="str">
        <f>IF(AND('Mapa final'!$AA$25="Muy Alta",'Mapa final'!$AC$25="Leve"),CONCATENATE("R4C",'Mapa final'!$Q$25),"")</f>
        <v/>
      </c>
      <c r="K9" s="39" t="str">
        <f>IF(AND('Mapa final'!$AA$26="Muy Alta",'Mapa final'!$AC$26="Leve"),CONCATENATE("R4C",'Mapa final'!$Q$26),"")</f>
        <v/>
      </c>
      <c r="L9" s="44" t="str">
        <f>IF(AND('Mapa final'!$AA$27="Muy Alta",'Mapa final'!$AC$27="Leve"),CONCATENATE("R4C",'Mapa final'!$Q$27),"")</f>
        <v/>
      </c>
      <c r="M9" s="44" t="str">
        <f>IF(AND('Mapa final'!$AA$28="Muy Alta",'Mapa final'!$AC$28="Leve"),CONCATENATE("R4C",'Mapa final'!$Q$28),"")</f>
        <v/>
      </c>
      <c r="N9" s="44" t="str">
        <f>IF(AND('Mapa final'!$AA$29="Muy Alta",'Mapa final'!$AC$29="Leve"),CONCATENATE("R4C",'Mapa final'!$Q$29),"")</f>
        <v/>
      </c>
      <c r="O9" s="40" t="str">
        <f>IF(AND('Mapa final'!$AA$30="Muy Alta",'Mapa final'!$AC$30="Leve"),CONCATENATE("R4C",'Mapa final'!$Q$30),"")</f>
        <v/>
      </c>
      <c r="P9" s="38" t="str">
        <f>IF(AND('Mapa final'!$AA$25="Muy Alta",'Mapa final'!$AC$25="Menor"),CONCATENATE("R4C",'Mapa final'!$Q$25),"")</f>
        <v/>
      </c>
      <c r="Q9" s="39" t="str">
        <f>IF(AND('Mapa final'!$AA$26="Muy Alta",'Mapa final'!$AC$26="Menor"),CONCATENATE("R4C",'Mapa final'!$Q$26),"")</f>
        <v/>
      </c>
      <c r="R9" s="44" t="str">
        <f>IF(AND('Mapa final'!$AA$27="Muy Alta",'Mapa final'!$AC$27="Menor"),CONCATENATE("R4C",'Mapa final'!$Q$27),"")</f>
        <v/>
      </c>
      <c r="S9" s="44" t="str">
        <f>IF(AND('Mapa final'!$AA$28="Muy Alta",'Mapa final'!$AC$28="Menor"),CONCATENATE("R4C",'Mapa final'!$Q$28),"")</f>
        <v/>
      </c>
      <c r="T9" s="44" t="str">
        <f>IF(AND('Mapa final'!$AA$29="Muy Alta",'Mapa final'!$AC$29="Menor"),CONCATENATE("R4C",'Mapa final'!$Q$29),"")</f>
        <v/>
      </c>
      <c r="U9" s="40" t="str">
        <f>IF(AND('Mapa final'!$AA$30="Muy Alta",'Mapa final'!$AC$30="Menor"),CONCATENATE("R4C",'Mapa final'!$Q$30),"")</f>
        <v/>
      </c>
      <c r="V9" s="38" t="str">
        <f>IF(AND('Mapa final'!$AA$25="Muy Alta",'Mapa final'!$AC$25="Moderado"),CONCATENATE("R4C",'Mapa final'!$Q$25),"")</f>
        <v/>
      </c>
      <c r="W9" s="39" t="str">
        <f>IF(AND('Mapa final'!$AA$26="Muy Alta",'Mapa final'!$AC$26="Moderado"),CONCATENATE("R4C",'Mapa final'!$Q$26),"")</f>
        <v/>
      </c>
      <c r="X9" s="44" t="str">
        <f>IF(AND('Mapa final'!$AA$27="Muy Alta",'Mapa final'!$AC$27="Moderado"),CONCATENATE("R4C",'Mapa final'!$Q$27),"")</f>
        <v/>
      </c>
      <c r="Y9" s="44" t="str">
        <f>IF(AND('Mapa final'!$AA$28="Muy Alta",'Mapa final'!$AC$28="Moderado"),CONCATENATE("R4C",'Mapa final'!$Q$28),"")</f>
        <v/>
      </c>
      <c r="Z9" s="44" t="str">
        <f>IF(AND('Mapa final'!$AA$29="Muy Alta",'Mapa final'!$AC$29="Moderado"),CONCATENATE("R4C",'Mapa final'!$Q$29),"")</f>
        <v/>
      </c>
      <c r="AA9" s="40" t="str">
        <f>IF(AND('Mapa final'!$AA$30="Muy Alta",'Mapa final'!$AC$30="Moderado"),CONCATENATE("R4C",'Mapa final'!$Q$30),"")</f>
        <v/>
      </c>
      <c r="AB9" s="38" t="str">
        <f>IF(AND('Mapa final'!$AA$25="Muy Alta",'Mapa final'!$AC$25="Mayor"),CONCATENATE("R4C",'Mapa final'!$Q$25),"")</f>
        <v/>
      </c>
      <c r="AC9" s="39" t="str">
        <f>IF(AND('Mapa final'!$AA$26="Muy Alta",'Mapa final'!$AC$26="Mayor"),CONCATENATE("R4C",'Mapa final'!$Q$26),"")</f>
        <v/>
      </c>
      <c r="AD9" s="44" t="str">
        <f>IF(AND('Mapa final'!$AA$27="Muy Alta",'Mapa final'!$AC$27="Mayor"),CONCATENATE("R4C",'Mapa final'!$Q$27),"")</f>
        <v/>
      </c>
      <c r="AE9" s="44" t="str">
        <f>IF(AND('Mapa final'!$AA$28="Muy Alta",'Mapa final'!$AC$28="Mayor"),CONCATENATE("R4C",'Mapa final'!$Q$28),"")</f>
        <v/>
      </c>
      <c r="AF9" s="44" t="str">
        <f>IF(AND('Mapa final'!$AA$29="Muy Alta",'Mapa final'!$AC$29="Mayor"),CONCATENATE("R4C",'Mapa final'!$Q$29),"")</f>
        <v/>
      </c>
      <c r="AG9" s="40" t="str">
        <f>IF(AND('Mapa final'!$AA$30="Muy Alta",'Mapa final'!$AC$30="Mayor"),CONCATENATE("R4C",'Mapa final'!$Q$30),"")</f>
        <v/>
      </c>
      <c r="AH9" s="41" t="str">
        <f>IF(AND('Mapa final'!$AA$25="Muy Alta",'Mapa final'!$AC$25="Catastrófico"),CONCATENATE("R4C",'Mapa final'!$Q$25),"")</f>
        <v/>
      </c>
      <c r="AI9" s="42" t="str">
        <f>IF(AND('Mapa final'!$AA$26="Muy Alta",'Mapa final'!$AC$26="Catastrófico"),CONCATENATE("R4C",'Mapa final'!$Q$26),"")</f>
        <v/>
      </c>
      <c r="AJ9" s="42" t="str">
        <f>IF(AND('Mapa final'!$AA$27="Muy Alta",'Mapa final'!$AC$27="Catastrófico"),CONCATENATE("R4C",'Mapa final'!$Q$27),"")</f>
        <v/>
      </c>
      <c r="AK9" s="42" t="str">
        <f>IF(AND('Mapa final'!$AA$28="Muy Alta",'Mapa final'!$AC$28="Catastrófico"),CONCATENATE("R4C",'Mapa final'!$Q$28),"")</f>
        <v/>
      </c>
      <c r="AL9" s="42" t="str">
        <f>IF(AND('Mapa final'!$AA$29="Muy Alta",'Mapa final'!$AC$29="Catastrófico"),CONCATENATE("R4C",'Mapa final'!$Q$29),"")</f>
        <v/>
      </c>
      <c r="AM9" s="43" t="str">
        <f>IF(AND('Mapa final'!$AA$30="Muy Alta",'Mapa final'!$AC$30="Catastrófico"),CONCATENATE("R4C",'Mapa final'!$Q$30),"")</f>
        <v/>
      </c>
      <c r="AN9" s="70"/>
      <c r="AO9" s="343"/>
      <c r="AP9" s="344"/>
      <c r="AQ9" s="344"/>
      <c r="AR9" s="344"/>
      <c r="AS9" s="344"/>
      <c r="AT9" s="345"/>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81"/>
      <c r="C10" s="281"/>
      <c r="D10" s="282"/>
      <c r="E10" s="322"/>
      <c r="F10" s="323"/>
      <c r="G10" s="323"/>
      <c r="H10" s="323"/>
      <c r="I10" s="324"/>
      <c r="J10" s="38" t="str">
        <f>IF(AND('Mapa final'!$AA$31="Muy Alta",'Mapa final'!$AC$31="Leve"),CONCATENATE("R5C",'Mapa final'!$Q$31),"")</f>
        <v/>
      </c>
      <c r="K10" s="39" t="str">
        <f>IF(AND('Mapa final'!$AA$32="Muy Alta",'Mapa final'!$AC$32="Leve"),CONCATENATE("R5C",'Mapa final'!$Q$32),"")</f>
        <v/>
      </c>
      <c r="L10" s="44" t="str">
        <f>IF(AND('Mapa final'!$AA$33="Muy Alta",'Mapa final'!$AC$33="Leve"),CONCATENATE("R5C",'Mapa final'!$Q$33),"")</f>
        <v/>
      </c>
      <c r="M10" s="44" t="str">
        <f>IF(AND('Mapa final'!$AA$34="Muy Alta",'Mapa final'!$AC$34="Leve"),CONCATENATE("R5C",'Mapa final'!$Q$34),"")</f>
        <v/>
      </c>
      <c r="N10" s="44" t="str">
        <f>IF(AND('Mapa final'!$AA$35="Muy Alta",'Mapa final'!$AC$35="Leve"),CONCATENATE("R5C",'Mapa final'!$Q$35),"")</f>
        <v/>
      </c>
      <c r="O10" s="40" t="str">
        <f>IF(AND('Mapa final'!$AA$36="Muy Alta",'Mapa final'!$AC$36="Leve"),CONCATENATE("R5C",'Mapa final'!$Q$36),"")</f>
        <v/>
      </c>
      <c r="P10" s="38" t="str">
        <f>IF(AND('Mapa final'!$AA$31="Muy Alta",'Mapa final'!$AC$31="Menor"),CONCATENATE("R5C",'Mapa final'!$Q$31),"")</f>
        <v/>
      </c>
      <c r="Q10" s="39" t="str">
        <f>IF(AND('Mapa final'!$AA$32="Muy Alta",'Mapa final'!$AC$32="Menor"),CONCATENATE("R5C",'Mapa final'!$Q$32),"")</f>
        <v/>
      </c>
      <c r="R10" s="44" t="str">
        <f>IF(AND('Mapa final'!$AA$33="Muy Alta",'Mapa final'!$AC$33="Menor"),CONCATENATE("R5C",'Mapa final'!$Q$33),"")</f>
        <v/>
      </c>
      <c r="S10" s="44" t="str">
        <f>IF(AND('Mapa final'!$AA$34="Muy Alta",'Mapa final'!$AC$34="Menor"),CONCATENATE("R5C",'Mapa final'!$Q$34),"")</f>
        <v/>
      </c>
      <c r="T10" s="44" t="str">
        <f>IF(AND('Mapa final'!$AA$35="Muy Alta",'Mapa final'!$AC$35="Menor"),CONCATENATE("R5C",'Mapa final'!$Q$35),"")</f>
        <v/>
      </c>
      <c r="U10" s="40" t="str">
        <f>IF(AND('Mapa final'!$AA$36="Muy Alta",'Mapa final'!$AC$36="Menor"),CONCATENATE("R5C",'Mapa final'!$Q$36),"")</f>
        <v/>
      </c>
      <c r="V10" s="38" t="str">
        <f>IF(AND('Mapa final'!$AA$31="Muy Alta",'Mapa final'!$AC$31="Moderado"),CONCATENATE("R5C",'Mapa final'!$Q$31),"")</f>
        <v/>
      </c>
      <c r="W10" s="39" t="str">
        <f>IF(AND('Mapa final'!$AA$32="Muy Alta",'Mapa final'!$AC$32="Moderado"),CONCATENATE("R5C",'Mapa final'!$Q$32),"")</f>
        <v/>
      </c>
      <c r="X10" s="44" t="str">
        <f>IF(AND('Mapa final'!$AA$33="Muy Alta",'Mapa final'!$AC$33="Moderado"),CONCATENATE("R5C",'Mapa final'!$Q$33),"")</f>
        <v/>
      </c>
      <c r="Y10" s="44" t="str">
        <f>IF(AND('Mapa final'!$AA$34="Muy Alta",'Mapa final'!$AC$34="Moderado"),CONCATENATE("R5C",'Mapa final'!$Q$34),"")</f>
        <v/>
      </c>
      <c r="Z10" s="44" t="str">
        <f>IF(AND('Mapa final'!$AA$35="Muy Alta",'Mapa final'!$AC$35="Moderado"),CONCATENATE("R5C",'Mapa final'!$Q$35),"")</f>
        <v/>
      </c>
      <c r="AA10" s="40" t="str">
        <f>IF(AND('Mapa final'!$AA$36="Muy Alta",'Mapa final'!$AC$36="Moderado"),CONCATENATE("R5C",'Mapa final'!$Q$36),"")</f>
        <v/>
      </c>
      <c r="AB10" s="38" t="str">
        <f>IF(AND('Mapa final'!$AA$31="Muy Alta",'Mapa final'!$AC$31="Mayor"),CONCATENATE("R5C",'Mapa final'!$Q$31),"")</f>
        <v/>
      </c>
      <c r="AC10" s="39" t="str">
        <f>IF(AND('Mapa final'!$AA$32="Muy Alta",'Mapa final'!$AC$32="Mayor"),CONCATENATE("R5C",'Mapa final'!$Q$32),"")</f>
        <v/>
      </c>
      <c r="AD10" s="44" t="str">
        <f>IF(AND('Mapa final'!$AA$33="Muy Alta",'Mapa final'!$AC$33="Mayor"),CONCATENATE("R5C",'Mapa final'!$Q$33),"")</f>
        <v/>
      </c>
      <c r="AE10" s="44" t="str">
        <f>IF(AND('Mapa final'!$AA$34="Muy Alta",'Mapa final'!$AC$34="Mayor"),CONCATENATE("R5C",'Mapa final'!$Q$34),"")</f>
        <v/>
      </c>
      <c r="AF10" s="44" t="str">
        <f>IF(AND('Mapa final'!$AA$35="Muy Alta",'Mapa final'!$AC$35="Mayor"),CONCATENATE("R5C",'Mapa final'!$Q$35),"")</f>
        <v/>
      </c>
      <c r="AG10" s="40" t="str">
        <f>IF(AND('Mapa final'!$AA$36="Muy Alta",'Mapa final'!$AC$36="Mayor"),CONCATENATE("R5C",'Mapa final'!$Q$36),"")</f>
        <v/>
      </c>
      <c r="AH10" s="41" t="str">
        <f>IF(AND('Mapa final'!$AA$31="Muy Alta",'Mapa final'!$AC$31="Catastrófico"),CONCATENATE("R5C",'Mapa final'!$Q$31),"")</f>
        <v/>
      </c>
      <c r="AI10" s="42" t="str">
        <f>IF(AND('Mapa final'!$AA$32="Muy Alta",'Mapa final'!$AC$32="Catastrófico"),CONCATENATE("R5C",'Mapa final'!$Q$32),"")</f>
        <v/>
      </c>
      <c r="AJ10" s="42" t="str">
        <f>IF(AND('Mapa final'!$AA$33="Muy Alta",'Mapa final'!$AC$33="Catastrófico"),CONCATENATE("R5C",'Mapa final'!$Q$33),"")</f>
        <v/>
      </c>
      <c r="AK10" s="42" t="str">
        <f>IF(AND('Mapa final'!$AA$34="Muy Alta",'Mapa final'!$AC$34="Catastrófico"),CONCATENATE("R5C",'Mapa final'!$Q$34),"")</f>
        <v/>
      </c>
      <c r="AL10" s="42" t="str">
        <f>IF(AND('Mapa final'!$AA$35="Muy Alta",'Mapa final'!$AC$35="Catastrófico"),CONCATENATE("R5C",'Mapa final'!$Q$35),"")</f>
        <v/>
      </c>
      <c r="AM10" s="43" t="str">
        <f>IF(AND('Mapa final'!$AA$36="Muy Alta",'Mapa final'!$AC$36="Catastrófico"),CONCATENATE("R5C",'Mapa final'!$Q$36),"")</f>
        <v/>
      </c>
      <c r="AN10" s="70"/>
      <c r="AO10" s="343"/>
      <c r="AP10" s="344"/>
      <c r="AQ10" s="344"/>
      <c r="AR10" s="344"/>
      <c r="AS10" s="344"/>
      <c r="AT10" s="345"/>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81"/>
      <c r="C11" s="281"/>
      <c r="D11" s="282"/>
      <c r="E11" s="322"/>
      <c r="F11" s="323"/>
      <c r="G11" s="323"/>
      <c r="H11" s="323"/>
      <c r="I11" s="324"/>
      <c r="J11" s="38" t="str">
        <f>IF(AND('Mapa final'!$AA$37="Muy Alta",'Mapa final'!$AC$37="Leve"),CONCATENATE("R6C",'Mapa final'!$Q$37),"")</f>
        <v/>
      </c>
      <c r="K11" s="39" t="str">
        <f>IF(AND('Mapa final'!$AA$38="Muy Alta",'Mapa final'!$AC$38="Leve"),CONCATENATE("R6C",'Mapa final'!$Q$38),"")</f>
        <v/>
      </c>
      <c r="L11" s="44" t="str">
        <f>IF(AND('Mapa final'!$AA$39="Muy Alta",'Mapa final'!$AC$39="Leve"),CONCATENATE("R6C",'Mapa final'!$Q$39),"")</f>
        <v/>
      </c>
      <c r="M11" s="44" t="str">
        <f>IF(AND('Mapa final'!$AA$40="Muy Alta",'Mapa final'!$AC$40="Leve"),CONCATENATE("R6C",'Mapa final'!$Q$40),"")</f>
        <v/>
      </c>
      <c r="N11" s="44" t="str">
        <f>IF(AND('Mapa final'!$AA$41="Muy Alta",'Mapa final'!$AC$41="Leve"),CONCATENATE("R6C",'Mapa final'!$Q$41),"")</f>
        <v/>
      </c>
      <c r="O11" s="40" t="str">
        <f>IF(AND('Mapa final'!$AA$42="Muy Alta",'Mapa final'!$AC$42="Leve"),CONCATENATE("R6C",'Mapa final'!$Q$42),"")</f>
        <v/>
      </c>
      <c r="P11" s="38" t="str">
        <f>IF(AND('Mapa final'!$AA$37="Muy Alta",'Mapa final'!$AC$37="Menor"),CONCATENATE("R6C",'Mapa final'!$Q$37),"")</f>
        <v/>
      </c>
      <c r="Q11" s="39" t="str">
        <f>IF(AND('Mapa final'!$AA$38="Muy Alta",'Mapa final'!$AC$38="Menor"),CONCATENATE("R6C",'Mapa final'!$Q$38),"")</f>
        <v/>
      </c>
      <c r="R11" s="44" t="str">
        <f>IF(AND('Mapa final'!$AA$39="Muy Alta",'Mapa final'!$AC$39="Menor"),CONCATENATE("R6C",'Mapa final'!$Q$39),"")</f>
        <v/>
      </c>
      <c r="S11" s="44" t="str">
        <f>IF(AND('Mapa final'!$AA$40="Muy Alta",'Mapa final'!$AC$40="Menor"),CONCATENATE("R6C",'Mapa final'!$Q$40),"")</f>
        <v/>
      </c>
      <c r="T11" s="44" t="str">
        <f>IF(AND('Mapa final'!$AA$41="Muy Alta",'Mapa final'!$AC$41="Menor"),CONCATENATE("R6C",'Mapa final'!$Q$41),"")</f>
        <v/>
      </c>
      <c r="U11" s="40" t="str">
        <f>IF(AND('Mapa final'!$AA$42="Muy Alta",'Mapa final'!$AC$42="Menor"),CONCATENATE("R6C",'Mapa final'!$Q$42),"")</f>
        <v/>
      </c>
      <c r="V11" s="38" t="str">
        <f>IF(AND('Mapa final'!$AA$37="Muy Alta",'Mapa final'!$AC$37="Moderado"),CONCATENATE("R6C",'Mapa final'!$Q$37),"")</f>
        <v/>
      </c>
      <c r="W11" s="39" t="str">
        <f>IF(AND('Mapa final'!$AA$38="Muy Alta",'Mapa final'!$AC$38="Moderado"),CONCATENATE("R6C",'Mapa final'!$Q$38),"")</f>
        <v/>
      </c>
      <c r="X11" s="44" t="str">
        <f>IF(AND('Mapa final'!$AA$39="Muy Alta",'Mapa final'!$AC$39="Moderado"),CONCATENATE("R6C",'Mapa final'!$Q$39),"")</f>
        <v/>
      </c>
      <c r="Y11" s="44" t="str">
        <f>IF(AND('Mapa final'!$AA$40="Muy Alta",'Mapa final'!$AC$40="Moderado"),CONCATENATE("R6C",'Mapa final'!$Q$40),"")</f>
        <v/>
      </c>
      <c r="Z11" s="44" t="str">
        <f>IF(AND('Mapa final'!$AA$41="Muy Alta",'Mapa final'!$AC$41="Moderado"),CONCATENATE("R6C",'Mapa final'!$Q$41),"")</f>
        <v/>
      </c>
      <c r="AA11" s="40" t="str">
        <f>IF(AND('Mapa final'!$AA$42="Muy Alta",'Mapa final'!$AC$42="Moderado"),CONCATENATE("R6C",'Mapa final'!$Q$42),"")</f>
        <v/>
      </c>
      <c r="AB11" s="38" t="str">
        <f>IF(AND('Mapa final'!$AA$37="Muy Alta",'Mapa final'!$AC$37="Mayor"),CONCATENATE("R6C",'Mapa final'!$Q$37),"")</f>
        <v/>
      </c>
      <c r="AC11" s="39" t="str">
        <f>IF(AND('Mapa final'!$AA$38="Muy Alta",'Mapa final'!$AC$38="Mayor"),CONCATENATE("R6C",'Mapa final'!$Q$38),"")</f>
        <v/>
      </c>
      <c r="AD11" s="44" t="str">
        <f>IF(AND('Mapa final'!$AA$39="Muy Alta",'Mapa final'!$AC$39="Mayor"),CONCATENATE("R6C",'Mapa final'!$Q$39),"")</f>
        <v/>
      </c>
      <c r="AE11" s="44" t="str">
        <f>IF(AND('Mapa final'!$AA$40="Muy Alta",'Mapa final'!$AC$40="Mayor"),CONCATENATE("R6C",'Mapa final'!$Q$40),"")</f>
        <v/>
      </c>
      <c r="AF11" s="44" t="str">
        <f>IF(AND('Mapa final'!$AA$41="Muy Alta",'Mapa final'!$AC$41="Mayor"),CONCATENATE("R6C",'Mapa final'!$Q$41),"")</f>
        <v/>
      </c>
      <c r="AG11" s="40" t="str">
        <f>IF(AND('Mapa final'!$AA$42="Muy Alta",'Mapa final'!$AC$42="Mayor"),CONCATENATE("R6C",'Mapa final'!$Q$42),"")</f>
        <v/>
      </c>
      <c r="AH11" s="41" t="str">
        <f>IF(AND('Mapa final'!$AA$37="Muy Alta",'Mapa final'!$AC$37="Catastrófico"),CONCATENATE("R6C",'Mapa final'!$Q$37),"")</f>
        <v/>
      </c>
      <c r="AI11" s="42" t="str">
        <f>IF(AND('Mapa final'!$AA$38="Muy Alta",'Mapa final'!$AC$38="Catastrófico"),CONCATENATE("R6C",'Mapa final'!$Q$38),"")</f>
        <v/>
      </c>
      <c r="AJ11" s="42" t="str">
        <f>IF(AND('Mapa final'!$AA$39="Muy Alta",'Mapa final'!$AC$39="Catastrófico"),CONCATENATE("R6C",'Mapa final'!$Q$39),"")</f>
        <v/>
      </c>
      <c r="AK11" s="42" t="str">
        <f>IF(AND('Mapa final'!$AA$40="Muy Alta",'Mapa final'!$AC$40="Catastrófico"),CONCATENATE("R6C",'Mapa final'!$Q$40),"")</f>
        <v/>
      </c>
      <c r="AL11" s="42" t="str">
        <f>IF(AND('Mapa final'!$AA$41="Muy Alta",'Mapa final'!$AC$41="Catastrófico"),CONCATENATE("R6C",'Mapa final'!$Q$41),"")</f>
        <v/>
      </c>
      <c r="AM11" s="43" t="str">
        <f>IF(AND('Mapa final'!$AA$42="Muy Alta",'Mapa final'!$AC$42="Catastrófico"),CONCATENATE("R6C",'Mapa final'!$Q$42),"")</f>
        <v/>
      </c>
      <c r="AN11" s="70"/>
      <c r="AO11" s="343"/>
      <c r="AP11" s="344"/>
      <c r="AQ11" s="344"/>
      <c r="AR11" s="344"/>
      <c r="AS11" s="344"/>
      <c r="AT11" s="345"/>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81"/>
      <c r="C12" s="281"/>
      <c r="D12" s="282"/>
      <c r="E12" s="322"/>
      <c r="F12" s="323"/>
      <c r="G12" s="323"/>
      <c r="H12" s="323"/>
      <c r="I12" s="324"/>
      <c r="J12" s="38" t="str">
        <f>IF(AND('Mapa final'!$AA$43="Muy Alta",'Mapa final'!$AC$43="Leve"),CONCATENATE("R7C",'Mapa final'!$Q$43),"")</f>
        <v/>
      </c>
      <c r="K12" s="39" t="str">
        <f>IF(AND('Mapa final'!$AA$44="Muy Alta",'Mapa final'!$AC$44="Leve"),CONCATENATE("R7C",'Mapa final'!$Q$44),"")</f>
        <v/>
      </c>
      <c r="L12" s="44" t="str">
        <f>IF(AND('Mapa final'!$AA$45="Muy Alta",'Mapa final'!$AC$45="Leve"),CONCATENATE("R7C",'Mapa final'!$Q$45),"")</f>
        <v/>
      </c>
      <c r="M12" s="44" t="str">
        <f>IF(AND('Mapa final'!$AA$46="Muy Alta",'Mapa final'!$AC$46="Leve"),CONCATENATE("R7C",'Mapa final'!$Q$46),"")</f>
        <v/>
      </c>
      <c r="N12" s="44" t="str">
        <f>IF(AND('Mapa final'!$AA$47="Muy Alta",'Mapa final'!$AC$47="Leve"),CONCATENATE("R7C",'Mapa final'!$Q$47),"")</f>
        <v/>
      </c>
      <c r="O12" s="40" t="str">
        <f>IF(AND('Mapa final'!$AA$48="Muy Alta",'Mapa final'!$AC$48="Leve"),CONCATENATE("R7C",'Mapa final'!$Q$48),"")</f>
        <v/>
      </c>
      <c r="P12" s="38" t="str">
        <f>IF(AND('Mapa final'!$AA$43="Muy Alta",'Mapa final'!$AC$43="Menor"),CONCATENATE("R7C",'Mapa final'!$Q$43),"")</f>
        <v/>
      </c>
      <c r="Q12" s="39" t="str">
        <f>IF(AND('Mapa final'!$AA$44="Muy Alta",'Mapa final'!$AC$44="Menor"),CONCATENATE("R7C",'Mapa final'!$Q$44),"")</f>
        <v/>
      </c>
      <c r="R12" s="44" t="str">
        <f>IF(AND('Mapa final'!$AA$45="Muy Alta",'Mapa final'!$AC$45="Menor"),CONCATENATE("R7C",'Mapa final'!$Q$45),"")</f>
        <v/>
      </c>
      <c r="S12" s="44" t="str">
        <f>IF(AND('Mapa final'!$AA$46="Muy Alta",'Mapa final'!$AC$46="Menor"),CONCATENATE("R7C",'Mapa final'!$Q$46),"")</f>
        <v/>
      </c>
      <c r="T12" s="44" t="str">
        <f>IF(AND('Mapa final'!$AA$47="Muy Alta",'Mapa final'!$AC$47="Menor"),CONCATENATE("R7C",'Mapa final'!$Q$47),"")</f>
        <v/>
      </c>
      <c r="U12" s="40" t="str">
        <f>IF(AND('Mapa final'!$AA$48="Muy Alta",'Mapa final'!$AC$48="Menor"),CONCATENATE("R7C",'Mapa final'!$Q$48),"")</f>
        <v/>
      </c>
      <c r="V12" s="38" t="str">
        <f>IF(AND('Mapa final'!$AA$43="Muy Alta",'Mapa final'!$AC$43="Moderado"),CONCATENATE("R7C",'Mapa final'!$Q$43),"")</f>
        <v/>
      </c>
      <c r="W12" s="39" t="str">
        <f>IF(AND('Mapa final'!$AA$44="Muy Alta",'Mapa final'!$AC$44="Moderado"),CONCATENATE("R7C",'Mapa final'!$Q$44),"")</f>
        <v/>
      </c>
      <c r="X12" s="44" t="str">
        <f>IF(AND('Mapa final'!$AA$45="Muy Alta",'Mapa final'!$AC$45="Moderado"),CONCATENATE("R7C",'Mapa final'!$Q$45),"")</f>
        <v/>
      </c>
      <c r="Y12" s="44" t="str">
        <f>IF(AND('Mapa final'!$AA$46="Muy Alta",'Mapa final'!$AC$46="Moderado"),CONCATENATE("R7C",'Mapa final'!$Q$46),"")</f>
        <v/>
      </c>
      <c r="Z12" s="44" t="str">
        <f>IF(AND('Mapa final'!$AA$47="Muy Alta",'Mapa final'!$AC$47="Moderado"),CONCATENATE("R7C",'Mapa final'!$Q$47),"")</f>
        <v/>
      </c>
      <c r="AA12" s="40" t="str">
        <f>IF(AND('Mapa final'!$AA$48="Muy Alta",'Mapa final'!$AC$48="Moderado"),CONCATENATE("R7C",'Mapa final'!$Q$48),"")</f>
        <v/>
      </c>
      <c r="AB12" s="38" t="str">
        <f>IF(AND('Mapa final'!$AA$43="Muy Alta",'Mapa final'!$AC$43="Mayor"),CONCATENATE("R7C",'Mapa final'!$Q$43),"")</f>
        <v/>
      </c>
      <c r="AC12" s="39" t="str">
        <f>IF(AND('Mapa final'!$AA$44="Muy Alta",'Mapa final'!$AC$44="Mayor"),CONCATENATE("R7C",'Mapa final'!$Q$44),"")</f>
        <v/>
      </c>
      <c r="AD12" s="44" t="str">
        <f>IF(AND('Mapa final'!$AA$45="Muy Alta",'Mapa final'!$AC$45="Mayor"),CONCATENATE("R7C",'Mapa final'!$Q$45),"")</f>
        <v/>
      </c>
      <c r="AE12" s="44" t="str">
        <f>IF(AND('Mapa final'!$AA$46="Muy Alta",'Mapa final'!$AC$46="Mayor"),CONCATENATE("R7C",'Mapa final'!$Q$46),"")</f>
        <v/>
      </c>
      <c r="AF12" s="44" t="str">
        <f>IF(AND('Mapa final'!$AA$47="Muy Alta",'Mapa final'!$AC$47="Mayor"),CONCATENATE("R7C",'Mapa final'!$Q$47),"")</f>
        <v/>
      </c>
      <c r="AG12" s="40" t="str">
        <f>IF(AND('Mapa final'!$AA$48="Muy Alta",'Mapa final'!$AC$48="Mayor"),CONCATENATE("R7C",'Mapa final'!$Q$48),"")</f>
        <v/>
      </c>
      <c r="AH12" s="41" t="str">
        <f>IF(AND('Mapa final'!$AA$43="Muy Alta",'Mapa final'!$AC$43="Catastrófico"),CONCATENATE("R7C",'Mapa final'!$Q$43),"")</f>
        <v/>
      </c>
      <c r="AI12" s="42" t="str">
        <f>IF(AND('Mapa final'!$AA$44="Muy Alta",'Mapa final'!$AC$44="Catastrófico"),CONCATENATE("R7C",'Mapa final'!$Q$44),"")</f>
        <v/>
      </c>
      <c r="AJ12" s="42" t="str">
        <f>IF(AND('Mapa final'!$AA$45="Muy Alta",'Mapa final'!$AC$45="Catastrófico"),CONCATENATE("R7C",'Mapa final'!$Q$45),"")</f>
        <v/>
      </c>
      <c r="AK12" s="42" t="str">
        <f>IF(AND('Mapa final'!$AA$46="Muy Alta",'Mapa final'!$AC$46="Catastrófico"),CONCATENATE("R7C",'Mapa final'!$Q$46),"")</f>
        <v/>
      </c>
      <c r="AL12" s="42" t="str">
        <f>IF(AND('Mapa final'!$AA$47="Muy Alta",'Mapa final'!$AC$47="Catastrófico"),CONCATENATE("R7C",'Mapa final'!$Q$47),"")</f>
        <v/>
      </c>
      <c r="AM12" s="43" t="str">
        <f>IF(AND('Mapa final'!$AA$48="Muy Alta",'Mapa final'!$AC$48="Catastrófico"),CONCATENATE("R7C",'Mapa final'!$Q$48),"")</f>
        <v/>
      </c>
      <c r="AN12" s="70"/>
      <c r="AO12" s="343"/>
      <c r="AP12" s="344"/>
      <c r="AQ12" s="344"/>
      <c r="AR12" s="344"/>
      <c r="AS12" s="344"/>
      <c r="AT12" s="345"/>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81"/>
      <c r="C13" s="281"/>
      <c r="D13" s="282"/>
      <c r="E13" s="322"/>
      <c r="F13" s="323"/>
      <c r="G13" s="323"/>
      <c r="H13" s="323"/>
      <c r="I13" s="324"/>
      <c r="J13" s="38" t="str">
        <f>IF(AND('Mapa final'!$AA$49="Muy Alta",'Mapa final'!$AC$49="Leve"),CONCATENATE("R8C",'Mapa final'!$Q$49),"")</f>
        <v/>
      </c>
      <c r="K13" s="39" t="str">
        <f>IF(AND('Mapa final'!$AA$50="Muy Alta",'Mapa final'!$AC$50="Leve"),CONCATENATE("R8C",'Mapa final'!$Q$50),"")</f>
        <v/>
      </c>
      <c r="L13" s="44" t="str">
        <f>IF(AND('Mapa final'!$AA$51="Muy Alta",'Mapa final'!$AC$51="Leve"),CONCATENATE("R8C",'Mapa final'!$Q$51),"")</f>
        <v/>
      </c>
      <c r="M13" s="44" t="str">
        <f>IF(AND('Mapa final'!$AA$52="Muy Alta",'Mapa final'!$AC$52="Leve"),CONCATENATE("R8C",'Mapa final'!$Q$52),"")</f>
        <v/>
      </c>
      <c r="N13" s="44" t="str">
        <f>IF(AND('Mapa final'!$AA$53="Muy Alta",'Mapa final'!$AC$53="Leve"),CONCATENATE("R8C",'Mapa final'!$Q$53),"")</f>
        <v/>
      </c>
      <c r="O13" s="40" t="str">
        <f>IF(AND('Mapa final'!$AA$54="Muy Alta",'Mapa final'!$AC$54="Leve"),CONCATENATE("R8C",'Mapa final'!$Q$54),"")</f>
        <v/>
      </c>
      <c r="P13" s="38" t="str">
        <f>IF(AND('Mapa final'!$AA$49="Muy Alta",'Mapa final'!$AC$49="Menor"),CONCATENATE("R8C",'Mapa final'!$Q$49),"")</f>
        <v/>
      </c>
      <c r="Q13" s="39" t="str">
        <f>IF(AND('Mapa final'!$AA$50="Muy Alta",'Mapa final'!$AC$50="Menor"),CONCATENATE("R8C",'Mapa final'!$Q$50),"")</f>
        <v/>
      </c>
      <c r="R13" s="44" t="str">
        <f>IF(AND('Mapa final'!$AA$51="Muy Alta",'Mapa final'!$AC$51="Menor"),CONCATENATE("R8C",'Mapa final'!$Q$51),"")</f>
        <v/>
      </c>
      <c r="S13" s="44" t="str">
        <f>IF(AND('Mapa final'!$AA$52="Muy Alta",'Mapa final'!$AC$52="Menor"),CONCATENATE("R8C",'Mapa final'!$Q$52),"")</f>
        <v/>
      </c>
      <c r="T13" s="44" t="str">
        <f>IF(AND('Mapa final'!$AA$53="Muy Alta",'Mapa final'!$AC$53="Menor"),CONCATENATE("R8C",'Mapa final'!$Q$53),"")</f>
        <v/>
      </c>
      <c r="U13" s="40" t="str">
        <f>IF(AND('Mapa final'!$AA$54="Muy Alta",'Mapa final'!$AC$54="Menor"),CONCATENATE("R8C",'Mapa final'!$Q$54),"")</f>
        <v/>
      </c>
      <c r="V13" s="38" t="str">
        <f>IF(AND('Mapa final'!$AA$49="Muy Alta",'Mapa final'!$AC$49="Moderado"),CONCATENATE("R8C",'Mapa final'!$Q$49),"")</f>
        <v/>
      </c>
      <c r="W13" s="39" t="str">
        <f>IF(AND('Mapa final'!$AA$50="Muy Alta",'Mapa final'!$AC$50="Moderado"),CONCATENATE("R8C",'Mapa final'!$Q$50),"")</f>
        <v/>
      </c>
      <c r="X13" s="44" t="str">
        <f>IF(AND('Mapa final'!$AA$51="Muy Alta",'Mapa final'!$AC$51="Moderado"),CONCATENATE("R8C",'Mapa final'!$Q$51),"")</f>
        <v/>
      </c>
      <c r="Y13" s="44" t="str">
        <f>IF(AND('Mapa final'!$AA$52="Muy Alta",'Mapa final'!$AC$52="Moderado"),CONCATENATE("R8C",'Mapa final'!$Q$52),"")</f>
        <v/>
      </c>
      <c r="Z13" s="44" t="str">
        <f>IF(AND('Mapa final'!$AA$53="Muy Alta",'Mapa final'!$AC$53="Moderado"),CONCATENATE("R8C",'Mapa final'!$Q$53),"")</f>
        <v/>
      </c>
      <c r="AA13" s="40" t="str">
        <f>IF(AND('Mapa final'!$AA$54="Muy Alta",'Mapa final'!$AC$54="Moderado"),CONCATENATE("R8C",'Mapa final'!$Q$54),"")</f>
        <v/>
      </c>
      <c r="AB13" s="38" t="str">
        <f>IF(AND('Mapa final'!$AA$49="Muy Alta",'Mapa final'!$AC$49="Mayor"),CONCATENATE("R8C",'Mapa final'!$Q$49),"")</f>
        <v/>
      </c>
      <c r="AC13" s="39" t="str">
        <f>IF(AND('Mapa final'!$AA$50="Muy Alta",'Mapa final'!$AC$50="Mayor"),CONCATENATE("R8C",'Mapa final'!$Q$50),"")</f>
        <v/>
      </c>
      <c r="AD13" s="44" t="str">
        <f>IF(AND('Mapa final'!$AA$51="Muy Alta",'Mapa final'!$AC$51="Mayor"),CONCATENATE("R8C",'Mapa final'!$Q$51),"")</f>
        <v/>
      </c>
      <c r="AE13" s="44" t="str">
        <f>IF(AND('Mapa final'!$AA$52="Muy Alta",'Mapa final'!$AC$52="Mayor"),CONCATENATE("R8C",'Mapa final'!$Q$52),"")</f>
        <v/>
      </c>
      <c r="AF13" s="44" t="str">
        <f>IF(AND('Mapa final'!$AA$53="Muy Alta",'Mapa final'!$AC$53="Mayor"),CONCATENATE("R8C",'Mapa final'!$Q$53),"")</f>
        <v/>
      </c>
      <c r="AG13" s="40" t="str">
        <f>IF(AND('Mapa final'!$AA$54="Muy Alta",'Mapa final'!$AC$54="Mayor"),CONCATENATE("R8C",'Mapa final'!$Q$54),"")</f>
        <v/>
      </c>
      <c r="AH13" s="41" t="str">
        <f>IF(AND('Mapa final'!$AA$49="Muy Alta",'Mapa final'!$AC$49="Catastrófico"),CONCATENATE("R8C",'Mapa final'!$Q$49),"")</f>
        <v/>
      </c>
      <c r="AI13" s="42" t="str">
        <f>IF(AND('Mapa final'!$AA$50="Muy Alta",'Mapa final'!$AC$50="Catastrófico"),CONCATENATE("R8C",'Mapa final'!$Q$50),"")</f>
        <v/>
      </c>
      <c r="AJ13" s="42" t="str">
        <f>IF(AND('Mapa final'!$AA$51="Muy Alta",'Mapa final'!$AC$51="Catastrófico"),CONCATENATE("R8C",'Mapa final'!$Q$51),"")</f>
        <v/>
      </c>
      <c r="AK13" s="42" t="str">
        <f>IF(AND('Mapa final'!$AA$52="Muy Alta",'Mapa final'!$AC$52="Catastrófico"),CONCATENATE("R8C",'Mapa final'!$Q$52),"")</f>
        <v/>
      </c>
      <c r="AL13" s="42" t="str">
        <f>IF(AND('Mapa final'!$AA$53="Muy Alta",'Mapa final'!$AC$53="Catastrófico"),CONCATENATE("R8C",'Mapa final'!$Q$53),"")</f>
        <v/>
      </c>
      <c r="AM13" s="43" t="str">
        <f>IF(AND('Mapa final'!$AA$54="Muy Alta",'Mapa final'!$AC$54="Catastrófico"),CONCATENATE("R8C",'Mapa final'!$Q$54),"")</f>
        <v/>
      </c>
      <c r="AN13" s="70"/>
      <c r="AO13" s="343"/>
      <c r="AP13" s="344"/>
      <c r="AQ13" s="344"/>
      <c r="AR13" s="344"/>
      <c r="AS13" s="344"/>
      <c r="AT13" s="345"/>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81"/>
      <c r="C14" s="281"/>
      <c r="D14" s="282"/>
      <c r="E14" s="322"/>
      <c r="F14" s="323"/>
      <c r="G14" s="323"/>
      <c r="H14" s="323"/>
      <c r="I14" s="324"/>
      <c r="J14" s="38" t="str">
        <f>IF(AND('Mapa final'!$AA$55="Muy Alta",'Mapa final'!$AC$55="Leve"),CONCATENATE("R9C",'Mapa final'!$Q$55),"")</f>
        <v/>
      </c>
      <c r="K14" s="39" t="str">
        <f>IF(AND('Mapa final'!$AA$56="Muy Alta",'Mapa final'!$AC$56="Leve"),CONCATENATE("R9C",'Mapa final'!$Q$56),"")</f>
        <v/>
      </c>
      <c r="L14" s="44" t="str">
        <f>IF(AND('Mapa final'!$AA$57="Muy Alta",'Mapa final'!$AC$57="Leve"),CONCATENATE("R9C",'Mapa final'!$Q$57),"")</f>
        <v/>
      </c>
      <c r="M14" s="44" t="str">
        <f>IF(AND('Mapa final'!$AA$58="Muy Alta",'Mapa final'!$AC$58="Leve"),CONCATENATE("R9C",'Mapa final'!$Q$58),"")</f>
        <v/>
      </c>
      <c r="N14" s="44" t="str">
        <f>IF(AND('Mapa final'!$AA$59="Muy Alta",'Mapa final'!$AC$59="Leve"),CONCATENATE("R9C",'Mapa final'!$Q$59),"")</f>
        <v/>
      </c>
      <c r="O14" s="40" t="str">
        <f>IF(AND('Mapa final'!$AA$60="Muy Alta",'Mapa final'!$AC$60="Leve"),CONCATENATE("R9C",'Mapa final'!$Q$60),"")</f>
        <v/>
      </c>
      <c r="P14" s="38" t="str">
        <f>IF(AND('Mapa final'!$AA$55="Muy Alta",'Mapa final'!$AC$55="Menor"),CONCATENATE("R9C",'Mapa final'!$Q$55),"")</f>
        <v/>
      </c>
      <c r="Q14" s="39" t="str">
        <f>IF(AND('Mapa final'!$AA$56="Muy Alta",'Mapa final'!$AC$56="Menor"),CONCATENATE("R9C",'Mapa final'!$Q$56),"")</f>
        <v/>
      </c>
      <c r="R14" s="44" t="str">
        <f>IF(AND('Mapa final'!$AA$57="Muy Alta",'Mapa final'!$AC$57="Menor"),CONCATENATE("R9C",'Mapa final'!$Q$57),"")</f>
        <v/>
      </c>
      <c r="S14" s="44" t="str">
        <f>IF(AND('Mapa final'!$AA$58="Muy Alta",'Mapa final'!$AC$58="Menor"),CONCATENATE("R9C",'Mapa final'!$Q$58),"")</f>
        <v/>
      </c>
      <c r="T14" s="44" t="str">
        <f>IF(AND('Mapa final'!$AA$59="Muy Alta",'Mapa final'!$AC$59="Menor"),CONCATENATE("R9C",'Mapa final'!$Q$59),"")</f>
        <v/>
      </c>
      <c r="U14" s="40" t="str">
        <f>IF(AND('Mapa final'!$AA$60="Muy Alta",'Mapa final'!$AC$60="Menor"),CONCATENATE("R9C",'Mapa final'!$Q$60),"")</f>
        <v/>
      </c>
      <c r="V14" s="38" t="str">
        <f>IF(AND('Mapa final'!$AA$55="Muy Alta",'Mapa final'!$AC$55="Moderado"),CONCATENATE("R9C",'Mapa final'!$Q$55),"")</f>
        <v/>
      </c>
      <c r="W14" s="39" t="str">
        <f>IF(AND('Mapa final'!$AA$56="Muy Alta",'Mapa final'!$AC$56="Moderado"),CONCATENATE("R9C",'Mapa final'!$Q$56),"")</f>
        <v/>
      </c>
      <c r="X14" s="44" t="str">
        <f>IF(AND('Mapa final'!$AA$57="Muy Alta",'Mapa final'!$AC$57="Moderado"),CONCATENATE("R9C",'Mapa final'!$Q$57),"")</f>
        <v/>
      </c>
      <c r="Y14" s="44" t="str">
        <f>IF(AND('Mapa final'!$AA$58="Muy Alta",'Mapa final'!$AC$58="Moderado"),CONCATENATE("R9C",'Mapa final'!$Q$58),"")</f>
        <v/>
      </c>
      <c r="Z14" s="44" t="str">
        <f>IF(AND('Mapa final'!$AA$59="Muy Alta",'Mapa final'!$AC$59="Moderado"),CONCATENATE("R9C",'Mapa final'!$Q$59),"")</f>
        <v/>
      </c>
      <c r="AA14" s="40" t="str">
        <f>IF(AND('Mapa final'!$AA$60="Muy Alta",'Mapa final'!$AC$60="Moderado"),CONCATENATE("R9C",'Mapa final'!$Q$60),"")</f>
        <v/>
      </c>
      <c r="AB14" s="38" t="str">
        <f>IF(AND('Mapa final'!$AA$55="Muy Alta",'Mapa final'!$AC$55="Mayor"),CONCATENATE("R9C",'Mapa final'!$Q$55),"")</f>
        <v/>
      </c>
      <c r="AC14" s="39" t="str">
        <f>IF(AND('Mapa final'!$AA$56="Muy Alta",'Mapa final'!$AC$56="Mayor"),CONCATENATE("R9C",'Mapa final'!$Q$56),"")</f>
        <v/>
      </c>
      <c r="AD14" s="44" t="str">
        <f>IF(AND('Mapa final'!$AA$57="Muy Alta",'Mapa final'!$AC$57="Mayor"),CONCATENATE("R9C",'Mapa final'!$Q$57),"")</f>
        <v/>
      </c>
      <c r="AE14" s="44" t="str">
        <f>IF(AND('Mapa final'!$AA$58="Muy Alta",'Mapa final'!$AC$58="Mayor"),CONCATENATE("R9C",'Mapa final'!$Q$58),"")</f>
        <v/>
      </c>
      <c r="AF14" s="44" t="str">
        <f>IF(AND('Mapa final'!$AA$59="Muy Alta",'Mapa final'!$AC$59="Mayor"),CONCATENATE("R9C",'Mapa final'!$Q$59),"")</f>
        <v/>
      </c>
      <c r="AG14" s="40" t="str">
        <f>IF(AND('Mapa final'!$AA$60="Muy Alta",'Mapa final'!$AC$60="Mayor"),CONCATENATE("R9C",'Mapa final'!$Q$60),"")</f>
        <v/>
      </c>
      <c r="AH14" s="41" t="str">
        <f>IF(AND('Mapa final'!$AA$55="Muy Alta",'Mapa final'!$AC$55="Catastrófico"),CONCATENATE("R9C",'Mapa final'!$Q$55),"")</f>
        <v/>
      </c>
      <c r="AI14" s="42" t="str">
        <f>IF(AND('Mapa final'!$AA$56="Muy Alta",'Mapa final'!$AC$56="Catastrófico"),CONCATENATE("R9C",'Mapa final'!$Q$56),"")</f>
        <v/>
      </c>
      <c r="AJ14" s="42" t="str">
        <f>IF(AND('Mapa final'!$AA$57="Muy Alta",'Mapa final'!$AC$57="Catastrófico"),CONCATENATE("R9C",'Mapa final'!$Q$57),"")</f>
        <v/>
      </c>
      <c r="AK14" s="42" t="str">
        <f>IF(AND('Mapa final'!$AA$58="Muy Alta",'Mapa final'!$AC$58="Catastrófico"),CONCATENATE("R9C",'Mapa final'!$Q$58),"")</f>
        <v/>
      </c>
      <c r="AL14" s="42" t="str">
        <f>IF(AND('Mapa final'!$AA$59="Muy Alta",'Mapa final'!$AC$59="Catastrófico"),CONCATENATE("R9C",'Mapa final'!$Q$59),"")</f>
        <v/>
      </c>
      <c r="AM14" s="43" t="str">
        <f>IF(AND('Mapa final'!$AA$60="Muy Alta",'Mapa final'!$AC$60="Catastrófico"),CONCATENATE("R9C",'Mapa final'!$Q$60),"")</f>
        <v/>
      </c>
      <c r="AN14" s="70"/>
      <c r="AO14" s="343"/>
      <c r="AP14" s="344"/>
      <c r="AQ14" s="344"/>
      <c r="AR14" s="344"/>
      <c r="AS14" s="344"/>
      <c r="AT14" s="345"/>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81"/>
      <c r="C15" s="281"/>
      <c r="D15" s="282"/>
      <c r="E15" s="325"/>
      <c r="F15" s="326"/>
      <c r="G15" s="326"/>
      <c r="H15" s="326"/>
      <c r="I15" s="327"/>
      <c r="J15" s="45" t="str">
        <f>IF(AND('Mapa final'!$AA$61="Muy Alta",'Mapa final'!$AC$61="Leve"),CONCATENATE("R10C",'Mapa final'!$Q$61),"")</f>
        <v/>
      </c>
      <c r="K15" s="46" t="str">
        <f>IF(AND('Mapa final'!$AA$62="Muy Alta",'Mapa final'!$AC$62="Leve"),CONCATENATE("R10C",'Mapa final'!$Q$62),"")</f>
        <v/>
      </c>
      <c r="L15" s="46" t="str">
        <f>IF(AND('Mapa final'!$AA$63="Muy Alta",'Mapa final'!$AC$63="Leve"),CONCATENATE("R10C",'Mapa final'!$Q$63),"")</f>
        <v/>
      </c>
      <c r="M15" s="46" t="str">
        <f>IF(AND('Mapa final'!$AA$64="Muy Alta",'Mapa final'!$AC$64="Leve"),CONCATENATE("R10C",'Mapa final'!$Q$64),"")</f>
        <v/>
      </c>
      <c r="N15" s="46" t="str">
        <f>IF(AND('Mapa final'!$AA$65="Muy Alta",'Mapa final'!$AC$65="Leve"),CONCATENATE("R10C",'Mapa final'!$Q$65),"")</f>
        <v/>
      </c>
      <c r="O15" s="47" t="str">
        <f>IF(AND('Mapa final'!$AA$66="Muy Alta",'Mapa final'!$AC$66="Leve"),CONCATENATE("R10C",'Mapa final'!$Q$66),"")</f>
        <v/>
      </c>
      <c r="P15" s="38" t="str">
        <f>IF(AND('Mapa final'!$AA$61="Muy Alta",'Mapa final'!$AC$61="Menor"),CONCATENATE("R10C",'Mapa final'!$Q$61),"")</f>
        <v/>
      </c>
      <c r="Q15" s="39" t="str">
        <f>IF(AND('Mapa final'!$AA$62="Muy Alta",'Mapa final'!$AC$62="Menor"),CONCATENATE("R10C",'Mapa final'!$Q$62),"")</f>
        <v/>
      </c>
      <c r="R15" s="39" t="str">
        <f>IF(AND('Mapa final'!$AA$63="Muy Alta",'Mapa final'!$AC$63="Menor"),CONCATENATE("R10C",'Mapa final'!$Q$63),"")</f>
        <v/>
      </c>
      <c r="S15" s="39" t="str">
        <f>IF(AND('Mapa final'!$AA$64="Muy Alta",'Mapa final'!$AC$64="Menor"),CONCATENATE("R10C",'Mapa final'!$Q$64),"")</f>
        <v/>
      </c>
      <c r="T15" s="39" t="str">
        <f>IF(AND('Mapa final'!$AA$65="Muy Alta",'Mapa final'!$AC$65="Menor"),CONCATENATE("R10C",'Mapa final'!$Q$65),"")</f>
        <v/>
      </c>
      <c r="U15" s="40" t="str">
        <f>IF(AND('Mapa final'!$AA$66="Muy Alta",'Mapa final'!$AC$66="Menor"),CONCATENATE("R10C",'Mapa final'!$Q$66),"")</f>
        <v/>
      </c>
      <c r="V15" s="45" t="str">
        <f>IF(AND('Mapa final'!$AA$61="Muy Alta",'Mapa final'!$AC$61="Moderado"),CONCATENATE("R10C",'Mapa final'!$Q$61),"")</f>
        <v/>
      </c>
      <c r="W15" s="46" t="str">
        <f>IF(AND('Mapa final'!$AA$62="Muy Alta",'Mapa final'!$AC$62="Moderado"),CONCATENATE("R10C",'Mapa final'!$Q$62),"")</f>
        <v/>
      </c>
      <c r="X15" s="46" t="str">
        <f>IF(AND('Mapa final'!$AA$63="Muy Alta",'Mapa final'!$AC$63="Moderado"),CONCATENATE("R10C",'Mapa final'!$Q$63),"")</f>
        <v/>
      </c>
      <c r="Y15" s="46" t="str">
        <f>IF(AND('Mapa final'!$AA$64="Muy Alta",'Mapa final'!$AC$64="Moderado"),CONCATENATE("R10C",'Mapa final'!$Q$64),"")</f>
        <v/>
      </c>
      <c r="Z15" s="46" t="str">
        <f>IF(AND('Mapa final'!$AA$65="Muy Alta",'Mapa final'!$AC$65="Moderado"),CONCATENATE("R10C",'Mapa final'!$Q$65),"")</f>
        <v/>
      </c>
      <c r="AA15" s="47" t="str">
        <f>IF(AND('Mapa final'!$AA$66="Muy Alta",'Mapa final'!$AC$66="Moderado"),CONCATENATE("R10C",'Mapa final'!$Q$66),"")</f>
        <v/>
      </c>
      <c r="AB15" s="38" t="str">
        <f>IF(AND('Mapa final'!$AA$61="Muy Alta",'Mapa final'!$AC$61="Mayor"),CONCATENATE("R10C",'Mapa final'!$Q$61),"")</f>
        <v/>
      </c>
      <c r="AC15" s="39" t="str">
        <f>IF(AND('Mapa final'!$AA$62="Muy Alta",'Mapa final'!$AC$62="Mayor"),CONCATENATE("R10C",'Mapa final'!$Q$62),"")</f>
        <v/>
      </c>
      <c r="AD15" s="39" t="str">
        <f>IF(AND('Mapa final'!$AA$63="Muy Alta",'Mapa final'!$AC$63="Mayor"),CONCATENATE("R10C",'Mapa final'!$Q$63),"")</f>
        <v/>
      </c>
      <c r="AE15" s="39" t="str">
        <f>IF(AND('Mapa final'!$AA$64="Muy Alta",'Mapa final'!$AC$64="Mayor"),CONCATENATE("R10C",'Mapa final'!$Q$64),"")</f>
        <v/>
      </c>
      <c r="AF15" s="39" t="str">
        <f>IF(AND('Mapa final'!$AA$65="Muy Alta",'Mapa final'!$AC$65="Mayor"),CONCATENATE("R10C",'Mapa final'!$Q$65),"")</f>
        <v/>
      </c>
      <c r="AG15" s="40" t="str">
        <f>IF(AND('Mapa final'!$AA$66="Muy Alta",'Mapa final'!$AC$66="Mayor"),CONCATENATE("R10C",'Mapa final'!$Q$66),"")</f>
        <v/>
      </c>
      <c r="AH15" s="48" t="str">
        <f>IF(AND('Mapa final'!$AA$61="Muy Alta",'Mapa final'!$AC$61="Catastrófico"),CONCATENATE("R10C",'Mapa final'!$Q$61),"")</f>
        <v/>
      </c>
      <c r="AI15" s="49" t="str">
        <f>IF(AND('Mapa final'!$AA$62="Muy Alta",'Mapa final'!$AC$62="Catastrófico"),CONCATENATE("R10C",'Mapa final'!$Q$62),"")</f>
        <v/>
      </c>
      <c r="AJ15" s="49" t="str">
        <f>IF(AND('Mapa final'!$AA$63="Muy Alta",'Mapa final'!$AC$63="Catastrófico"),CONCATENATE("R10C",'Mapa final'!$Q$63),"")</f>
        <v/>
      </c>
      <c r="AK15" s="49" t="str">
        <f>IF(AND('Mapa final'!$AA$64="Muy Alta",'Mapa final'!$AC$64="Catastrófico"),CONCATENATE("R10C",'Mapa final'!$Q$64),"")</f>
        <v/>
      </c>
      <c r="AL15" s="49" t="str">
        <f>IF(AND('Mapa final'!$AA$65="Muy Alta",'Mapa final'!$AC$65="Catastrófico"),CONCATENATE("R10C",'Mapa final'!$Q$65),"")</f>
        <v/>
      </c>
      <c r="AM15" s="50" t="str">
        <f>IF(AND('Mapa final'!$AA$66="Muy Alta",'Mapa final'!$AC$66="Catastrófico"),CONCATENATE("R10C",'Mapa final'!$Q$66),"")</f>
        <v/>
      </c>
      <c r="AN15" s="70"/>
      <c r="AO15" s="346"/>
      <c r="AP15" s="347"/>
      <c r="AQ15" s="347"/>
      <c r="AR15" s="347"/>
      <c r="AS15" s="347"/>
      <c r="AT15" s="348"/>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81"/>
      <c r="C16" s="281"/>
      <c r="D16" s="282"/>
      <c r="E16" s="319" t="s">
        <v>111</v>
      </c>
      <c r="F16" s="320"/>
      <c r="G16" s="320"/>
      <c r="H16" s="320"/>
      <c r="I16" s="320"/>
      <c r="J16" s="51" t="str">
        <f>IF(AND('Mapa final'!$AA$7="Alta",'Mapa final'!$AC$7="Leve"),CONCATENATE("R1C",'Mapa final'!$Q$7),"")</f>
        <v/>
      </c>
      <c r="K16" s="52" t="str">
        <f>IF(AND('Mapa final'!$AA$8="Alta",'Mapa final'!$AC$8="Leve"),CONCATENATE("R1C",'Mapa final'!$Q$8),"")</f>
        <v/>
      </c>
      <c r="L16" s="52" t="str">
        <f>IF(AND('Mapa final'!$AA$9="Alta",'Mapa final'!$AC$9="Leve"),CONCATENATE("R1C",'Mapa final'!$Q$9),"")</f>
        <v/>
      </c>
      <c r="M16" s="52" t="str">
        <f>IF(AND('Mapa final'!$AA$10="Alta",'Mapa final'!$AC$10="Leve"),CONCATENATE("R1C",'Mapa final'!$Q$10),"")</f>
        <v/>
      </c>
      <c r="N16" s="52" t="str">
        <f>IF(AND('Mapa final'!$AA$11="Alta",'Mapa final'!$AC$11="Leve"),CONCATENATE("R1C",'Mapa final'!$Q$11),"")</f>
        <v/>
      </c>
      <c r="O16" s="53" t="str">
        <f>IF(AND('Mapa final'!$AA$12="Alta",'Mapa final'!$AC$12="Leve"),CONCATENATE("R1C",'Mapa final'!$Q$12),"")</f>
        <v/>
      </c>
      <c r="P16" s="51" t="str">
        <f>IF(AND('Mapa final'!$AA$7="Alta",'Mapa final'!$AC$7="Menor"),CONCATENATE("R1C",'Mapa final'!$Q$7),"")</f>
        <v/>
      </c>
      <c r="Q16" s="52" t="str">
        <f>IF(AND('Mapa final'!$AA$8="Alta",'Mapa final'!$AC$8="Menor"),CONCATENATE("R1C",'Mapa final'!$Q$8),"")</f>
        <v/>
      </c>
      <c r="R16" s="52" t="str">
        <f>IF(AND('Mapa final'!$AA$9="Alta",'Mapa final'!$AC$9="Menor"),CONCATENATE("R1C",'Mapa final'!$Q$9),"")</f>
        <v/>
      </c>
      <c r="S16" s="52" t="str">
        <f>IF(AND('Mapa final'!$AA$10="Alta",'Mapa final'!$AC$10="Menor"),CONCATENATE("R1C",'Mapa final'!$Q$10),"")</f>
        <v/>
      </c>
      <c r="T16" s="52" t="str">
        <f>IF(AND('Mapa final'!$AA$11="Alta",'Mapa final'!$AC$11="Menor"),CONCATENATE("R1C",'Mapa final'!$Q$11),"")</f>
        <v/>
      </c>
      <c r="U16" s="53" t="str">
        <f>IF(AND('Mapa final'!$AA$12="Alta",'Mapa final'!$AC$12="Menor"),CONCATENATE("R1C",'Mapa final'!$Q$12),"")</f>
        <v/>
      </c>
      <c r="V16" s="32" t="str">
        <f>IF(AND('Mapa final'!$AA$7="Alta",'Mapa final'!$AC$7="Moderado"),CONCATENATE("R1C",'Mapa final'!$Q$7),"")</f>
        <v/>
      </c>
      <c r="W16" s="33" t="str">
        <f>IF(AND('Mapa final'!$AA$8="Alta",'Mapa final'!$AC$8="Moderado"),CONCATENATE("R1C",'Mapa final'!$Q$8),"")</f>
        <v/>
      </c>
      <c r="X16" s="33" t="str">
        <f>IF(AND('Mapa final'!$AA$9="Alta",'Mapa final'!$AC$9="Moderado"),CONCATENATE("R1C",'Mapa final'!$Q$9),"")</f>
        <v/>
      </c>
      <c r="Y16" s="33" t="str">
        <f>IF(AND('Mapa final'!$AA$10="Alta",'Mapa final'!$AC$10="Moderado"),CONCATENATE("R1C",'Mapa final'!$Q$10),"")</f>
        <v/>
      </c>
      <c r="Z16" s="33" t="str">
        <f>IF(AND('Mapa final'!$AA$11="Alta",'Mapa final'!$AC$11="Moderado"),CONCATENATE("R1C",'Mapa final'!$Q$11),"")</f>
        <v/>
      </c>
      <c r="AA16" s="34" t="str">
        <f>IF(AND('Mapa final'!$AA$12="Alta",'Mapa final'!$AC$12="Moderado"),CONCATENATE("R1C",'Mapa final'!$Q$12),"")</f>
        <v/>
      </c>
      <c r="AB16" s="32" t="str">
        <f>IF(AND('Mapa final'!$AA$7="Alta",'Mapa final'!$AC$7="Mayor"),CONCATENATE("R1C",'Mapa final'!$Q$7),"")</f>
        <v/>
      </c>
      <c r="AC16" s="33" t="str">
        <f>IF(AND('Mapa final'!$AA$8="Alta",'Mapa final'!$AC$8="Mayor"),CONCATENATE("R1C",'Mapa final'!$Q$8),"")</f>
        <v/>
      </c>
      <c r="AD16" s="33" t="str">
        <f>IF(AND('Mapa final'!$AA$9="Alta",'Mapa final'!$AC$9="Mayor"),CONCATENATE("R1C",'Mapa final'!$Q$9),"")</f>
        <v/>
      </c>
      <c r="AE16" s="33" t="str">
        <f>IF(AND('Mapa final'!$AA$10="Alta",'Mapa final'!$AC$10="Mayor"),CONCATENATE("R1C",'Mapa final'!$Q$10),"")</f>
        <v/>
      </c>
      <c r="AF16" s="33" t="str">
        <f>IF(AND('Mapa final'!$AA$11="Alta",'Mapa final'!$AC$11="Mayor"),CONCATENATE("R1C",'Mapa final'!$Q$11),"")</f>
        <v/>
      </c>
      <c r="AG16" s="34" t="str">
        <f>IF(AND('Mapa final'!$AA$12="Alta",'Mapa final'!$AC$12="Mayor"),CONCATENATE("R1C",'Mapa final'!$Q$12),"")</f>
        <v/>
      </c>
      <c r="AH16" s="35" t="str">
        <f>IF(AND('Mapa final'!$AA$7="Alta",'Mapa final'!$AC$7="Catastrófico"),CONCATENATE("R1C",'Mapa final'!$Q$7),"")</f>
        <v/>
      </c>
      <c r="AI16" s="36" t="str">
        <f>IF(AND('Mapa final'!$AA$8="Alta",'Mapa final'!$AC$8="Catastrófico"),CONCATENATE("R1C",'Mapa final'!$Q$8),"")</f>
        <v/>
      </c>
      <c r="AJ16" s="36" t="str">
        <f>IF(AND('Mapa final'!$AA$9="Alta",'Mapa final'!$AC$9="Catastrófico"),CONCATENATE("R1C",'Mapa final'!$Q$9),"")</f>
        <v/>
      </c>
      <c r="AK16" s="36" t="str">
        <f>IF(AND('Mapa final'!$AA$10="Alta",'Mapa final'!$AC$10="Catastrófico"),CONCATENATE("R1C",'Mapa final'!$Q$10),"")</f>
        <v/>
      </c>
      <c r="AL16" s="36" t="str">
        <f>IF(AND('Mapa final'!$AA$11="Alta",'Mapa final'!$AC$11="Catastrófico"),CONCATENATE("R1C",'Mapa final'!$Q$11),"")</f>
        <v/>
      </c>
      <c r="AM16" s="37" t="str">
        <f>IF(AND('Mapa final'!$AA$12="Alta",'Mapa final'!$AC$12="Catastrófico"),CONCATENATE("R1C",'Mapa final'!$Q$12),"")</f>
        <v/>
      </c>
      <c r="AN16" s="70"/>
      <c r="AO16" s="329" t="s">
        <v>76</v>
      </c>
      <c r="AP16" s="330"/>
      <c r="AQ16" s="330"/>
      <c r="AR16" s="330"/>
      <c r="AS16" s="330"/>
      <c r="AT16" s="331"/>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81"/>
      <c r="C17" s="281"/>
      <c r="D17" s="282"/>
      <c r="E17" s="338"/>
      <c r="F17" s="339"/>
      <c r="G17" s="339"/>
      <c r="H17" s="339"/>
      <c r="I17" s="339"/>
      <c r="J17" s="54" t="str">
        <f ca="1">IF(AND('Mapa final'!$AA$13="Alta",'Mapa final'!$AC$13="Leve"),CONCATENATE("R2C",'Mapa final'!$Q$13),"")</f>
        <v/>
      </c>
      <c r="K17" s="55" t="str">
        <f>IF(AND('Mapa final'!$AA$14="Alta",'Mapa final'!$AC$14="Leve"),CONCATENATE("R2C",'Mapa final'!$Q$14),"")</f>
        <v/>
      </c>
      <c r="L17" s="55" t="str">
        <f>IF(AND('Mapa final'!$AA$15="Alta",'Mapa final'!$AC$15="Leve"),CONCATENATE("R2C",'Mapa final'!$Q$15),"")</f>
        <v/>
      </c>
      <c r="M17" s="55" t="str">
        <f>IF(AND('Mapa final'!$AA$16="Alta",'Mapa final'!$AC$16="Leve"),CONCATENATE("R2C",'Mapa final'!$Q$16),"")</f>
        <v/>
      </c>
      <c r="N17" s="55" t="str">
        <f>IF(AND('Mapa final'!$AA$17="Alta",'Mapa final'!$AC$17="Leve"),CONCATENATE("R2C",'Mapa final'!$Q$17),"")</f>
        <v/>
      </c>
      <c r="O17" s="56" t="str">
        <f>IF(AND('Mapa final'!$AA$18="Alta",'Mapa final'!$AC$18="Leve"),CONCATENATE("R2C",'Mapa final'!$Q$18),"")</f>
        <v/>
      </c>
      <c r="P17" s="54" t="str">
        <f ca="1">IF(AND('Mapa final'!$AA$13="Alta",'Mapa final'!$AC$13="Menor"),CONCATENATE("R2C",'Mapa final'!$Q$13),"")</f>
        <v/>
      </c>
      <c r="Q17" s="55" t="str">
        <f>IF(AND('Mapa final'!$AA$14="Alta",'Mapa final'!$AC$14="Menor"),CONCATENATE("R2C",'Mapa final'!$Q$14),"")</f>
        <v/>
      </c>
      <c r="R17" s="55" t="str">
        <f>IF(AND('Mapa final'!$AA$15="Alta",'Mapa final'!$AC$15="Menor"),CONCATENATE("R2C",'Mapa final'!$Q$15),"")</f>
        <v/>
      </c>
      <c r="S17" s="55" t="str">
        <f>IF(AND('Mapa final'!$AA$16="Alta",'Mapa final'!$AC$16="Menor"),CONCATENATE("R2C",'Mapa final'!$Q$16),"")</f>
        <v/>
      </c>
      <c r="T17" s="55" t="str">
        <f>IF(AND('Mapa final'!$AA$17="Alta",'Mapa final'!$AC$17="Menor"),CONCATENATE("R2C",'Mapa final'!$Q$17),"")</f>
        <v/>
      </c>
      <c r="U17" s="56" t="str">
        <f>IF(AND('Mapa final'!$AA$18="Alta",'Mapa final'!$AC$18="Menor"),CONCATENATE("R2C",'Mapa final'!$Q$18),"")</f>
        <v/>
      </c>
      <c r="V17" s="38" t="str">
        <f ca="1">IF(AND('Mapa final'!$AA$13="Alta",'Mapa final'!$AC$13="Moderado"),CONCATENATE("R2C",'Mapa final'!$Q$13),"")</f>
        <v/>
      </c>
      <c r="W17" s="39" t="str">
        <f>IF(AND('Mapa final'!$AA$14="Alta",'Mapa final'!$AC$14="Moderado"),CONCATENATE("R2C",'Mapa final'!$Q$14),"")</f>
        <v/>
      </c>
      <c r="X17" s="39" t="str">
        <f>IF(AND('Mapa final'!$AA$15="Alta",'Mapa final'!$AC$15="Moderado"),CONCATENATE("R2C",'Mapa final'!$Q$15),"")</f>
        <v/>
      </c>
      <c r="Y17" s="39" t="str">
        <f>IF(AND('Mapa final'!$AA$16="Alta",'Mapa final'!$AC$16="Moderado"),CONCATENATE("R2C",'Mapa final'!$Q$16),"")</f>
        <v/>
      </c>
      <c r="Z17" s="39" t="str">
        <f>IF(AND('Mapa final'!$AA$17="Alta",'Mapa final'!$AC$17="Moderado"),CONCATENATE("R2C",'Mapa final'!$Q$17),"")</f>
        <v/>
      </c>
      <c r="AA17" s="40" t="str">
        <f>IF(AND('Mapa final'!$AA$18="Alta",'Mapa final'!$AC$18="Moderado"),CONCATENATE("R2C",'Mapa final'!$Q$18),"")</f>
        <v/>
      </c>
      <c r="AB17" s="38" t="str">
        <f ca="1">IF(AND('Mapa final'!$AA$13="Alta",'Mapa final'!$AC$13="Mayor"),CONCATENATE("R2C",'Mapa final'!$Q$13),"")</f>
        <v/>
      </c>
      <c r="AC17" s="39" t="str">
        <f>IF(AND('Mapa final'!$AA$14="Alta",'Mapa final'!$AC$14="Mayor"),CONCATENATE("R2C",'Mapa final'!$Q$14),"")</f>
        <v/>
      </c>
      <c r="AD17" s="39" t="str">
        <f>IF(AND('Mapa final'!$AA$15="Alta",'Mapa final'!$AC$15="Mayor"),CONCATENATE("R2C",'Mapa final'!$Q$15),"")</f>
        <v/>
      </c>
      <c r="AE17" s="39" t="str">
        <f>IF(AND('Mapa final'!$AA$16="Alta",'Mapa final'!$AC$16="Mayor"),CONCATENATE("R2C",'Mapa final'!$Q$16),"")</f>
        <v/>
      </c>
      <c r="AF17" s="39" t="str">
        <f>IF(AND('Mapa final'!$AA$17="Alta",'Mapa final'!$AC$17="Mayor"),CONCATENATE("R2C",'Mapa final'!$Q$17),"")</f>
        <v/>
      </c>
      <c r="AG17" s="40" t="str">
        <f>IF(AND('Mapa final'!$AA$18="Alta",'Mapa final'!$AC$18="Mayor"),CONCATENATE("R2C",'Mapa final'!$Q$18),"")</f>
        <v/>
      </c>
      <c r="AH17" s="41" t="str">
        <f ca="1">IF(AND('Mapa final'!$AA$13="Alta",'Mapa final'!$AC$13="Catastrófico"),CONCATENATE("R2C",'Mapa final'!$Q$13),"")</f>
        <v/>
      </c>
      <c r="AI17" s="42" t="str">
        <f>IF(AND('Mapa final'!$AA$14="Alta",'Mapa final'!$AC$14="Catastrófico"),CONCATENATE("R2C",'Mapa final'!$Q$14),"")</f>
        <v/>
      </c>
      <c r="AJ17" s="42" t="str">
        <f>IF(AND('Mapa final'!$AA$15="Alta",'Mapa final'!$AC$15="Catastrófico"),CONCATENATE("R2C",'Mapa final'!$Q$15),"")</f>
        <v/>
      </c>
      <c r="AK17" s="42" t="str">
        <f>IF(AND('Mapa final'!$AA$16="Alta",'Mapa final'!$AC$16="Catastrófico"),CONCATENATE("R2C",'Mapa final'!$Q$16),"")</f>
        <v/>
      </c>
      <c r="AL17" s="42" t="str">
        <f>IF(AND('Mapa final'!$AA$17="Alta",'Mapa final'!$AC$17="Catastrófico"),CONCATENATE("R2C",'Mapa final'!$Q$17),"")</f>
        <v/>
      </c>
      <c r="AM17" s="43" t="str">
        <f>IF(AND('Mapa final'!$AA$18="Alta",'Mapa final'!$AC$18="Catastrófico"),CONCATENATE("R2C",'Mapa final'!$Q$18),"")</f>
        <v/>
      </c>
      <c r="AN17" s="70"/>
      <c r="AO17" s="332"/>
      <c r="AP17" s="333"/>
      <c r="AQ17" s="333"/>
      <c r="AR17" s="333"/>
      <c r="AS17" s="333"/>
      <c r="AT17" s="334"/>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81"/>
      <c r="C18" s="281"/>
      <c r="D18" s="282"/>
      <c r="E18" s="322"/>
      <c r="F18" s="323"/>
      <c r="G18" s="323"/>
      <c r="H18" s="323"/>
      <c r="I18" s="339"/>
      <c r="J18" s="54" t="str">
        <f>IF(AND('Mapa final'!$AA$19="Alta",'Mapa final'!$AC$19="Leve"),CONCATENATE("R3C",'Mapa final'!$Q$19),"")</f>
        <v/>
      </c>
      <c r="K18" s="55" t="str">
        <f>IF(AND('Mapa final'!$AA$20="Alta",'Mapa final'!$AC$20="Leve"),CONCATENATE("R3C",'Mapa final'!$Q$20),"")</f>
        <v/>
      </c>
      <c r="L18" s="55" t="str">
        <f>IF(AND('Mapa final'!$AA$21="Alta",'Mapa final'!$AC$21="Leve"),CONCATENATE("R3C",'Mapa final'!$Q$21),"")</f>
        <v/>
      </c>
      <c r="M18" s="55" t="str">
        <f>IF(AND('Mapa final'!$AA$22="Alta",'Mapa final'!$AC$22="Leve"),CONCATENATE("R3C",'Mapa final'!$Q$22),"")</f>
        <v/>
      </c>
      <c r="N18" s="55" t="str">
        <f>IF(AND('Mapa final'!$AA$23="Alta",'Mapa final'!$AC$23="Leve"),CONCATENATE("R3C",'Mapa final'!$Q$23),"")</f>
        <v/>
      </c>
      <c r="O18" s="56" t="str">
        <f>IF(AND('Mapa final'!$AA$24="Alta",'Mapa final'!$AC$24="Leve"),CONCATENATE("R3C",'Mapa final'!$Q$24),"")</f>
        <v/>
      </c>
      <c r="P18" s="54" t="str">
        <f>IF(AND('Mapa final'!$AA$19="Alta",'Mapa final'!$AC$19="Menor"),CONCATENATE("R3C",'Mapa final'!$Q$19),"")</f>
        <v/>
      </c>
      <c r="Q18" s="55" t="str">
        <f>IF(AND('Mapa final'!$AA$20="Alta",'Mapa final'!$AC$20="Menor"),CONCATENATE("R3C",'Mapa final'!$Q$20),"")</f>
        <v/>
      </c>
      <c r="R18" s="55" t="str">
        <f>IF(AND('Mapa final'!$AA$21="Alta",'Mapa final'!$AC$21="Menor"),CONCATENATE("R3C",'Mapa final'!$Q$21),"")</f>
        <v/>
      </c>
      <c r="S18" s="55" t="str">
        <f>IF(AND('Mapa final'!$AA$22="Alta",'Mapa final'!$AC$22="Menor"),CONCATENATE("R3C",'Mapa final'!$Q$22),"")</f>
        <v/>
      </c>
      <c r="T18" s="55" t="str">
        <f>IF(AND('Mapa final'!$AA$23="Alta",'Mapa final'!$AC$23="Menor"),CONCATENATE("R3C",'Mapa final'!$Q$23),"")</f>
        <v/>
      </c>
      <c r="U18" s="56" t="str">
        <f>IF(AND('Mapa final'!$AA$24="Alta",'Mapa final'!$AC$24="Menor"),CONCATENATE("R3C",'Mapa final'!$Q$24),"")</f>
        <v/>
      </c>
      <c r="V18" s="38" t="str">
        <f>IF(AND('Mapa final'!$AA$19="Alta",'Mapa final'!$AC$19="Moderado"),CONCATENATE("R3C",'Mapa final'!$Q$19),"")</f>
        <v/>
      </c>
      <c r="W18" s="39" t="str">
        <f>IF(AND('Mapa final'!$AA$20="Alta",'Mapa final'!$AC$20="Moderado"),CONCATENATE("R3C",'Mapa final'!$Q$20),"")</f>
        <v/>
      </c>
      <c r="X18" s="39" t="str">
        <f>IF(AND('Mapa final'!$AA$21="Alta",'Mapa final'!$AC$21="Moderado"),CONCATENATE("R3C",'Mapa final'!$Q$21),"")</f>
        <v/>
      </c>
      <c r="Y18" s="39" t="str">
        <f>IF(AND('Mapa final'!$AA$22="Alta",'Mapa final'!$AC$22="Moderado"),CONCATENATE("R3C",'Mapa final'!$Q$22),"")</f>
        <v/>
      </c>
      <c r="Z18" s="39" t="str">
        <f>IF(AND('Mapa final'!$AA$23="Alta",'Mapa final'!$AC$23="Moderado"),CONCATENATE("R3C",'Mapa final'!$Q$23),"")</f>
        <v/>
      </c>
      <c r="AA18" s="40" t="str">
        <f>IF(AND('Mapa final'!$AA$24="Alta",'Mapa final'!$AC$24="Moderado"),CONCATENATE("R3C",'Mapa final'!$Q$24),"")</f>
        <v/>
      </c>
      <c r="AB18" s="38" t="str">
        <f>IF(AND('Mapa final'!$AA$19="Alta",'Mapa final'!$AC$19="Mayor"),CONCATENATE("R3C",'Mapa final'!$Q$19),"")</f>
        <v/>
      </c>
      <c r="AC18" s="39" t="str">
        <f>IF(AND('Mapa final'!$AA$20="Alta",'Mapa final'!$AC$20="Mayor"),CONCATENATE("R3C",'Mapa final'!$Q$20),"")</f>
        <v/>
      </c>
      <c r="AD18" s="39" t="str">
        <f>IF(AND('Mapa final'!$AA$21="Alta",'Mapa final'!$AC$21="Mayor"),CONCATENATE("R3C",'Mapa final'!$Q$21),"")</f>
        <v/>
      </c>
      <c r="AE18" s="39" t="str">
        <f>IF(AND('Mapa final'!$AA$22="Alta",'Mapa final'!$AC$22="Mayor"),CONCATENATE("R3C",'Mapa final'!$Q$22),"")</f>
        <v/>
      </c>
      <c r="AF18" s="39" t="str">
        <f>IF(AND('Mapa final'!$AA$23="Alta",'Mapa final'!$AC$23="Mayor"),CONCATENATE("R3C",'Mapa final'!$Q$23),"")</f>
        <v/>
      </c>
      <c r="AG18" s="40" t="str">
        <f>IF(AND('Mapa final'!$AA$24="Alta",'Mapa final'!$AC$24="Mayor"),CONCATENATE("R3C",'Mapa final'!$Q$24),"")</f>
        <v/>
      </c>
      <c r="AH18" s="41" t="str">
        <f>IF(AND('Mapa final'!$AA$19="Alta",'Mapa final'!$AC$19="Catastrófico"),CONCATENATE("R3C",'Mapa final'!$Q$19),"")</f>
        <v/>
      </c>
      <c r="AI18" s="42" t="str">
        <f>IF(AND('Mapa final'!$AA$20="Alta",'Mapa final'!$AC$20="Catastrófico"),CONCATENATE("R3C",'Mapa final'!$Q$20),"")</f>
        <v/>
      </c>
      <c r="AJ18" s="42" t="str">
        <f>IF(AND('Mapa final'!$AA$21="Alta",'Mapa final'!$AC$21="Catastrófico"),CONCATENATE("R3C",'Mapa final'!$Q$21),"")</f>
        <v/>
      </c>
      <c r="AK18" s="42" t="str">
        <f>IF(AND('Mapa final'!$AA$22="Alta",'Mapa final'!$AC$22="Catastrófico"),CONCATENATE("R3C",'Mapa final'!$Q$22),"")</f>
        <v/>
      </c>
      <c r="AL18" s="42" t="str">
        <f>IF(AND('Mapa final'!$AA$23="Alta",'Mapa final'!$AC$23="Catastrófico"),CONCATENATE("R3C",'Mapa final'!$Q$23),"")</f>
        <v/>
      </c>
      <c r="AM18" s="43" t="str">
        <f>IF(AND('Mapa final'!$AA$24="Alta",'Mapa final'!$AC$24="Catastrófico"),CONCATENATE("R3C",'Mapa final'!$Q$24),"")</f>
        <v/>
      </c>
      <c r="AN18" s="70"/>
      <c r="AO18" s="332"/>
      <c r="AP18" s="333"/>
      <c r="AQ18" s="333"/>
      <c r="AR18" s="333"/>
      <c r="AS18" s="333"/>
      <c r="AT18" s="334"/>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81"/>
      <c r="C19" s="281"/>
      <c r="D19" s="282"/>
      <c r="E19" s="322"/>
      <c r="F19" s="323"/>
      <c r="G19" s="323"/>
      <c r="H19" s="323"/>
      <c r="I19" s="339"/>
      <c r="J19" s="54" t="str">
        <f>IF(AND('Mapa final'!$AA$25="Alta",'Mapa final'!$AC$25="Leve"),CONCATENATE("R4C",'Mapa final'!$Q$25),"")</f>
        <v/>
      </c>
      <c r="K19" s="55" t="str">
        <f>IF(AND('Mapa final'!$AA$26="Alta",'Mapa final'!$AC$26="Leve"),CONCATENATE("R4C",'Mapa final'!$Q$26),"")</f>
        <v/>
      </c>
      <c r="L19" s="55" t="str">
        <f>IF(AND('Mapa final'!$AA$27="Alta",'Mapa final'!$AC$27="Leve"),CONCATENATE("R4C",'Mapa final'!$Q$27),"")</f>
        <v/>
      </c>
      <c r="M19" s="55" t="str">
        <f>IF(AND('Mapa final'!$AA$28="Alta",'Mapa final'!$AC$28="Leve"),CONCATENATE("R4C",'Mapa final'!$Q$28),"")</f>
        <v/>
      </c>
      <c r="N19" s="55" t="str">
        <f>IF(AND('Mapa final'!$AA$29="Alta",'Mapa final'!$AC$29="Leve"),CONCATENATE("R4C",'Mapa final'!$Q$29),"")</f>
        <v/>
      </c>
      <c r="O19" s="56" t="str">
        <f>IF(AND('Mapa final'!$AA$30="Alta",'Mapa final'!$AC$30="Leve"),CONCATENATE("R4C",'Mapa final'!$Q$30),"")</f>
        <v/>
      </c>
      <c r="P19" s="54" t="str">
        <f>IF(AND('Mapa final'!$AA$25="Alta",'Mapa final'!$AC$25="Menor"),CONCATENATE("R4C",'Mapa final'!$Q$25),"")</f>
        <v/>
      </c>
      <c r="Q19" s="55" t="str">
        <f>IF(AND('Mapa final'!$AA$26="Alta",'Mapa final'!$AC$26="Menor"),CONCATENATE("R4C",'Mapa final'!$Q$26),"")</f>
        <v/>
      </c>
      <c r="R19" s="55" t="str">
        <f>IF(AND('Mapa final'!$AA$27="Alta",'Mapa final'!$AC$27="Menor"),CONCATENATE("R4C",'Mapa final'!$Q$27),"")</f>
        <v/>
      </c>
      <c r="S19" s="55" t="str">
        <f>IF(AND('Mapa final'!$AA$28="Alta",'Mapa final'!$AC$28="Menor"),CONCATENATE("R4C",'Mapa final'!$Q$28),"")</f>
        <v/>
      </c>
      <c r="T19" s="55" t="str">
        <f>IF(AND('Mapa final'!$AA$29="Alta",'Mapa final'!$AC$29="Menor"),CONCATENATE("R4C",'Mapa final'!$Q$29),"")</f>
        <v/>
      </c>
      <c r="U19" s="56" t="str">
        <f>IF(AND('Mapa final'!$AA$30="Alta",'Mapa final'!$AC$30="Menor"),CONCATENATE("R4C",'Mapa final'!$Q$30),"")</f>
        <v/>
      </c>
      <c r="V19" s="38" t="str">
        <f>IF(AND('Mapa final'!$AA$25="Alta",'Mapa final'!$AC$25="Moderado"),CONCATENATE("R4C",'Mapa final'!$Q$25),"")</f>
        <v/>
      </c>
      <c r="W19" s="39" t="str">
        <f>IF(AND('Mapa final'!$AA$26="Alta",'Mapa final'!$AC$26="Moderado"),CONCATENATE("R4C",'Mapa final'!$Q$26),"")</f>
        <v/>
      </c>
      <c r="X19" s="44" t="str">
        <f>IF(AND('Mapa final'!$AA$27="Alta",'Mapa final'!$AC$27="Moderado"),CONCATENATE("R4C",'Mapa final'!$Q$27),"")</f>
        <v/>
      </c>
      <c r="Y19" s="44" t="str">
        <f>IF(AND('Mapa final'!$AA$28="Alta",'Mapa final'!$AC$28="Moderado"),CONCATENATE("R4C",'Mapa final'!$Q$28),"")</f>
        <v/>
      </c>
      <c r="Z19" s="44" t="str">
        <f>IF(AND('Mapa final'!$AA$29="Alta",'Mapa final'!$AC$29="Moderado"),CONCATENATE("R4C",'Mapa final'!$Q$29),"")</f>
        <v/>
      </c>
      <c r="AA19" s="40" t="str">
        <f>IF(AND('Mapa final'!$AA$30="Alta",'Mapa final'!$AC$30="Moderado"),CONCATENATE("R4C",'Mapa final'!$Q$30),"")</f>
        <v/>
      </c>
      <c r="AB19" s="38" t="str">
        <f>IF(AND('Mapa final'!$AA$25="Alta",'Mapa final'!$AC$25="Mayor"),CONCATENATE("R4C",'Mapa final'!$Q$25),"")</f>
        <v/>
      </c>
      <c r="AC19" s="39" t="str">
        <f>IF(AND('Mapa final'!$AA$26="Alta",'Mapa final'!$AC$26="Mayor"),CONCATENATE("R4C",'Mapa final'!$Q$26),"")</f>
        <v/>
      </c>
      <c r="AD19" s="44" t="str">
        <f>IF(AND('Mapa final'!$AA$27="Alta",'Mapa final'!$AC$27="Mayor"),CONCATENATE("R4C",'Mapa final'!$Q$27),"")</f>
        <v/>
      </c>
      <c r="AE19" s="44" t="str">
        <f>IF(AND('Mapa final'!$AA$28="Alta",'Mapa final'!$AC$28="Mayor"),CONCATENATE("R4C",'Mapa final'!$Q$28),"")</f>
        <v/>
      </c>
      <c r="AF19" s="44" t="str">
        <f>IF(AND('Mapa final'!$AA$29="Alta",'Mapa final'!$AC$29="Mayor"),CONCATENATE("R4C",'Mapa final'!$Q$29),"")</f>
        <v/>
      </c>
      <c r="AG19" s="40" t="str">
        <f>IF(AND('Mapa final'!$AA$30="Alta",'Mapa final'!$AC$30="Mayor"),CONCATENATE("R4C",'Mapa final'!$Q$30),"")</f>
        <v/>
      </c>
      <c r="AH19" s="41" t="str">
        <f>IF(AND('Mapa final'!$AA$25="Alta",'Mapa final'!$AC$25="Catastrófico"),CONCATENATE("R4C",'Mapa final'!$Q$25),"")</f>
        <v/>
      </c>
      <c r="AI19" s="42" t="str">
        <f>IF(AND('Mapa final'!$AA$26="Alta",'Mapa final'!$AC$26="Catastrófico"),CONCATENATE("R4C",'Mapa final'!$Q$26),"")</f>
        <v/>
      </c>
      <c r="AJ19" s="42" t="str">
        <f>IF(AND('Mapa final'!$AA$27="Alta",'Mapa final'!$AC$27="Catastrófico"),CONCATENATE("R4C",'Mapa final'!$Q$27),"")</f>
        <v/>
      </c>
      <c r="AK19" s="42" t="str">
        <f>IF(AND('Mapa final'!$AA$28="Alta",'Mapa final'!$AC$28="Catastrófico"),CONCATENATE("R4C",'Mapa final'!$Q$28),"")</f>
        <v/>
      </c>
      <c r="AL19" s="42" t="str">
        <f>IF(AND('Mapa final'!$AA$29="Alta",'Mapa final'!$AC$29="Catastrófico"),CONCATENATE("R4C",'Mapa final'!$Q$29),"")</f>
        <v/>
      </c>
      <c r="AM19" s="43" t="str">
        <f>IF(AND('Mapa final'!$AA$30="Alta",'Mapa final'!$AC$30="Catastrófico"),CONCATENATE("R4C",'Mapa final'!$Q$30),"")</f>
        <v/>
      </c>
      <c r="AN19" s="70"/>
      <c r="AO19" s="332"/>
      <c r="AP19" s="333"/>
      <c r="AQ19" s="333"/>
      <c r="AR19" s="333"/>
      <c r="AS19" s="333"/>
      <c r="AT19" s="334"/>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81"/>
      <c r="C20" s="281"/>
      <c r="D20" s="282"/>
      <c r="E20" s="322"/>
      <c r="F20" s="323"/>
      <c r="G20" s="323"/>
      <c r="H20" s="323"/>
      <c r="I20" s="339"/>
      <c r="J20" s="54" t="str">
        <f>IF(AND('Mapa final'!$AA$31="Alta",'Mapa final'!$AC$31="Leve"),CONCATENATE("R5C",'Mapa final'!$Q$31),"")</f>
        <v/>
      </c>
      <c r="K20" s="55" t="str">
        <f>IF(AND('Mapa final'!$AA$32="Alta",'Mapa final'!$AC$32="Leve"),CONCATENATE("R5C",'Mapa final'!$Q$32),"")</f>
        <v/>
      </c>
      <c r="L20" s="55" t="str">
        <f>IF(AND('Mapa final'!$AA$33="Alta",'Mapa final'!$AC$33="Leve"),CONCATENATE("R5C",'Mapa final'!$Q$33),"")</f>
        <v/>
      </c>
      <c r="M20" s="55" t="str">
        <f>IF(AND('Mapa final'!$AA$34="Alta",'Mapa final'!$AC$34="Leve"),CONCATENATE("R5C",'Mapa final'!$Q$34),"")</f>
        <v/>
      </c>
      <c r="N20" s="55" t="str">
        <f>IF(AND('Mapa final'!$AA$35="Alta",'Mapa final'!$AC$35="Leve"),CONCATENATE("R5C",'Mapa final'!$Q$35),"")</f>
        <v/>
      </c>
      <c r="O20" s="56" t="str">
        <f>IF(AND('Mapa final'!$AA$36="Alta",'Mapa final'!$AC$36="Leve"),CONCATENATE("R5C",'Mapa final'!$Q$36),"")</f>
        <v/>
      </c>
      <c r="P20" s="54" t="str">
        <f>IF(AND('Mapa final'!$AA$31="Alta",'Mapa final'!$AC$31="Menor"),CONCATENATE("R5C",'Mapa final'!$Q$31),"")</f>
        <v/>
      </c>
      <c r="Q20" s="55" t="str">
        <f>IF(AND('Mapa final'!$AA$32="Alta",'Mapa final'!$AC$32="Menor"),CONCATENATE("R5C",'Mapa final'!$Q$32),"")</f>
        <v/>
      </c>
      <c r="R20" s="55" t="str">
        <f>IF(AND('Mapa final'!$AA$33="Alta",'Mapa final'!$AC$33="Menor"),CONCATENATE("R5C",'Mapa final'!$Q$33),"")</f>
        <v/>
      </c>
      <c r="S20" s="55" t="str">
        <f>IF(AND('Mapa final'!$AA$34="Alta",'Mapa final'!$AC$34="Menor"),CONCATENATE("R5C",'Mapa final'!$Q$34),"")</f>
        <v/>
      </c>
      <c r="T20" s="55" t="str">
        <f>IF(AND('Mapa final'!$AA$35="Alta",'Mapa final'!$AC$35="Menor"),CONCATENATE("R5C",'Mapa final'!$Q$35),"")</f>
        <v/>
      </c>
      <c r="U20" s="56" t="str">
        <f>IF(AND('Mapa final'!$AA$36="Alta",'Mapa final'!$AC$36="Menor"),CONCATENATE("R5C",'Mapa final'!$Q$36),"")</f>
        <v/>
      </c>
      <c r="V20" s="38" t="str">
        <f>IF(AND('Mapa final'!$AA$31="Alta",'Mapa final'!$AC$31="Moderado"),CONCATENATE("R5C",'Mapa final'!$Q$31),"")</f>
        <v/>
      </c>
      <c r="W20" s="39" t="str">
        <f>IF(AND('Mapa final'!$AA$32="Alta",'Mapa final'!$AC$32="Moderado"),CONCATENATE("R5C",'Mapa final'!$Q$32),"")</f>
        <v/>
      </c>
      <c r="X20" s="44" t="str">
        <f>IF(AND('Mapa final'!$AA$33="Alta",'Mapa final'!$AC$33="Moderado"),CONCATENATE("R5C",'Mapa final'!$Q$33),"")</f>
        <v/>
      </c>
      <c r="Y20" s="44" t="str">
        <f>IF(AND('Mapa final'!$AA$34="Alta",'Mapa final'!$AC$34="Moderado"),CONCATENATE("R5C",'Mapa final'!$Q$34),"")</f>
        <v/>
      </c>
      <c r="Z20" s="44" t="str">
        <f>IF(AND('Mapa final'!$AA$35="Alta",'Mapa final'!$AC$35="Moderado"),CONCATENATE("R5C",'Mapa final'!$Q$35),"")</f>
        <v/>
      </c>
      <c r="AA20" s="40" t="str">
        <f>IF(AND('Mapa final'!$AA$36="Alta",'Mapa final'!$AC$36="Moderado"),CONCATENATE("R5C",'Mapa final'!$Q$36),"")</f>
        <v/>
      </c>
      <c r="AB20" s="38" t="str">
        <f>IF(AND('Mapa final'!$AA$31="Alta",'Mapa final'!$AC$31="Mayor"),CONCATENATE("R5C",'Mapa final'!$Q$31),"")</f>
        <v/>
      </c>
      <c r="AC20" s="39" t="str">
        <f>IF(AND('Mapa final'!$AA$32="Alta",'Mapa final'!$AC$32="Mayor"),CONCATENATE("R5C",'Mapa final'!$Q$32),"")</f>
        <v/>
      </c>
      <c r="AD20" s="44" t="str">
        <f>IF(AND('Mapa final'!$AA$33="Alta",'Mapa final'!$AC$33="Mayor"),CONCATENATE("R5C",'Mapa final'!$Q$33),"")</f>
        <v/>
      </c>
      <c r="AE20" s="44" t="str">
        <f>IF(AND('Mapa final'!$AA$34="Alta",'Mapa final'!$AC$34="Mayor"),CONCATENATE("R5C",'Mapa final'!$Q$34),"")</f>
        <v/>
      </c>
      <c r="AF20" s="44" t="str">
        <f>IF(AND('Mapa final'!$AA$35="Alta",'Mapa final'!$AC$35="Mayor"),CONCATENATE("R5C",'Mapa final'!$Q$35),"")</f>
        <v/>
      </c>
      <c r="AG20" s="40" t="str">
        <f>IF(AND('Mapa final'!$AA$36="Alta",'Mapa final'!$AC$36="Mayor"),CONCATENATE("R5C",'Mapa final'!$Q$36),"")</f>
        <v/>
      </c>
      <c r="AH20" s="41" t="str">
        <f>IF(AND('Mapa final'!$AA$31="Alta",'Mapa final'!$AC$31="Catastrófico"),CONCATENATE("R5C",'Mapa final'!$Q$31),"")</f>
        <v/>
      </c>
      <c r="AI20" s="42" t="str">
        <f>IF(AND('Mapa final'!$AA$32="Alta",'Mapa final'!$AC$32="Catastrófico"),CONCATENATE("R5C",'Mapa final'!$Q$32),"")</f>
        <v/>
      </c>
      <c r="AJ20" s="42" t="str">
        <f>IF(AND('Mapa final'!$AA$33="Alta",'Mapa final'!$AC$33="Catastrófico"),CONCATENATE("R5C",'Mapa final'!$Q$33),"")</f>
        <v/>
      </c>
      <c r="AK20" s="42" t="str">
        <f>IF(AND('Mapa final'!$AA$34="Alta",'Mapa final'!$AC$34="Catastrófico"),CONCATENATE("R5C",'Mapa final'!$Q$34),"")</f>
        <v/>
      </c>
      <c r="AL20" s="42" t="str">
        <f>IF(AND('Mapa final'!$AA$35="Alta",'Mapa final'!$AC$35="Catastrófico"),CONCATENATE("R5C",'Mapa final'!$Q$35),"")</f>
        <v/>
      </c>
      <c r="AM20" s="43" t="str">
        <f>IF(AND('Mapa final'!$AA$36="Alta",'Mapa final'!$AC$36="Catastrófico"),CONCATENATE("R5C",'Mapa final'!$Q$36),"")</f>
        <v/>
      </c>
      <c r="AN20" s="70"/>
      <c r="AO20" s="332"/>
      <c r="AP20" s="333"/>
      <c r="AQ20" s="333"/>
      <c r="AR20" s="333"/>
      <c r="AS20" s="333"/>
      <c r="AT20" s="334"/>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81"/>
      <c r="C21" s="281"/>
      <c r="D21" s="282"/>
      <c r="E21" s="322"/>
      <c r="F21" s="323"/>
      <c r="G21" s="323"/>
      <c r="H21" s="323"/>
      <c r="I21" s="339"/>
      <c r="J21" s="54" t="str">
        <f>IF(AND('Mapa final'!$AA$37="Alta",'Mapa final'!$AC$37="Leve"),CONCATENATE("R6C",'Mapa final'!$Q$37),"")</f>
        <v/>
      </c>
      <c r="K21" s="55" t="str">
        <f>IF(AND('Mapa final'!$AA$38="Alta",'Mapa final'!$AC$38="Leve"),CONCATENATE("R6C",'Mapa final'!$Q$38),"")</f>
        <v/>
      </c>
      <c r="L21" s="55" t="str">
        <f>IF(AND('Mapa final'!$AA$39="Alta",'Mapa final'!$AC$39="Leve"),CONCATENATE("R6C",'Mapa final'!$Q$39),"")</f>
        <v/>
      </c>
      <c r="M21" s="55" t="str">
        <f>IF(AND('Mapa final'!$AA$40="Alta",'Mapa final'!$AC$40="Leve"),CONCATENATE("R6C",'Mapa final'!$Q$40),"")</f>
        <v/>
      </c>
      <c r="N21" s="55" t="str">
        <f>IF(AND('Mapa final'!$AA$41="Alta",'Mapa final'!$AC$41="Leve"),CONCATENATE("R6C",'Mapa final'!$Q$41),"")</f>
        <v/>
      </c>
      <c r="O21" s="56" t="str">
        <f>IF(AND('Mapa final'!$AA$42="Alta",'Mapa final'!$AC$42="Leve"),CONCATENATE("R6C",'Mapa final'!$Q$42),"")</f>
        <v/>
      </c>
      <c r="P21" s="54" t="str">
        <f>IF(AND('Mapa final'!$AA$37="Alta",'Mapa final'!$AC$37="Menor"),CONCATENATE("R6C",'Mapa final'!$Q$37),"")</f>
        <v/>
      </c>
      <c r="Q21" s="55" t="str">
        <f>IF(AND('Mapa final'!$AA$38="Alta",'Mapa final'!$AC$38="Menor"),CONCATENATE("R6C",'Mapa final'!$Q$38),"")</f>
        <v/>
      </c>
      <c r="R21" s="55" t="str">
        <f>IF(AND('Mapa final'!$AA$39="Alta",'Mapa final'!$AC$39="Menor"),CONCATENATE("R6C",'Mapa final'!$Q$39),"")</f>
        <v/>
      </c>
      <c r="S21" s="55" t="str">
        <f>IF(AND('Mapa final'!$AA$40="Alta",'Mapa final'!$AC$40="Menor"),CONCATENATE("R6C",'Mapa final'!$Q$40),"")</f>
        <v/>
      </c>
      <c r="T21" s="55" t="str">
        <f>IF(AND('Mapa final'!$AA$41="Alta",'Mapa final'!$AC$41="Menor"),CONCATENATE("R6C",'Mapa final'!$Q$41),"")</f>
        <v/>
      </c>
      <c r="U21" s="56" t="str">
        <f>IF(AND('Mapa final'!$AA$42="Alta",'Mapa final'!$AC$42="Menor"),CONCATENATE("R6C",'Mapa final'!$Q$42),"")</f>
        <v/>
      </c>
      <c r="V21" s="38" t="str">
        <f>IF(AND('Mapa final'!$AA$37="Alta",'Mapa final'!$AC$37="Moderado"),CONCATENATE("R6C",'Mapa final'!$Q$37),"")</f>
        <v/>
      </c>
      <c r="W21" s="39" t="str">
        <f>IF(AND('Mapa final'!$AA$38="Alta",'Mapa final'!$AC$38="Moderado"),CONCATENATE("R6C",'Mapa final'!$Q$38),"")</f>
        <v/>
      </c>
      <c r="X21" s="44" t="str">
        <f>IF(AND('Mapa final'!$AA$39="Alta",'Mapa final'!$AC$39="Moderado"),CONCATENATE("R6C",'Mapa final'!$Q$39),"")</f>
        <v/>
      </c>
      <c r="Y21" s="44" t="str">
        <f>IF(AND('Mapa final'!$AA$40="Alta",'Mapa final'!$AC$40="Moderado"),CONCATENATE("R6C",'Mapa final'!$Q$40),"")</f>
        <v/>
      </c>
      <c r="Z21" s="44" t="str">
        <f>IF(AND('Mapa final'!$AA$41="Alta",'Mapa final'!$AC$41="Moderado"),CONCATENATE("R6C",'Mapa final'!$Q$41),"")</f>
        <v/>
      </c>
      <c r="AA21" s="40" t="str">
        <f>IF(AND('Mapa final'!$AA$42="Alta",'Mapa final'!$AC$42="Moderado"),CONCATENATE("R6C",'Mapa final'!$Q$42),"")</f>
        <v/>
      </c>
      <c r="AB21" s="38" t="str">
        <f>IF(AND('Mapa final'!$AA$37="Alta",'Mapa final'!$AC$37="Mayor"),CONCATENATE("R6C",'Mapa final'!$Q$37),"")</f>
        <v/>
      </c>
      <c r="AC21" s="39" t="str">
        <f>IF(AND('Mapa final'!$AA$38="Alta",'Mapa final'!$AC$38="Mayor"),CONCATENATE("R6C",'Mapa final'!$Q$38),"")</f>
        <v/>
      </c>
      <c r="AD21" s="44" t="str">
        <f>IF(AND('Mapa final'!$AA$39="Alta",'Mapa final'!$AC$39="Mayor"),CONCATENATE("R6C",'Mapa final'!$Q$39),"")</f>
        <v/>
      </c>
      <c r="AE21" s="44" t="str">
        <f>IF(AND('Mapa final'!$AA$40="Alta",'Mapa final'!$AC$40="Mayor"),CONCATENATE("R6C",'Mapa final'!$Q$40),"")</f>
        <v/>
      </c>
      <c r="AF21" s="44" t="str">
        <f>IF(AND('Mapa final'!$AA$41="Alta",'Mapa final'!$AC$41="Mayor"),CONCATENATE("R6C",'Mapa final'!$Q$41),"")</f>
        <v/>
      </c>
      <c r="AG21" s="40" t="str">
        <f>IF(AND('Mapa final'!$AA$42="Alta",'Mapa final'!$AC$42="Mayor"),CONCATENATE("R6C",'Mapa final'!$Q$42),"")</f>
        <v/>
      </c>
      <c r="AH21" s="41" t="str">
        <f>IF(AND('Mapa final'!$AA$37="Alta",'Mapa final'!$AC$37="Catastrófico"),CONCATENATE("R6C",'Mapa final'!$Q$37),"")</f>
        <v/>
      </c>
      <c r="AI21" s="42" t="str">
        <f>IF(AND('Mapa final'!$AA$38="Alta",'Mapa final'!$AC$38="Catastrófico"),CONCATENATE("R6C",'Mapa final'!$Q$38),"")</f>
        <v/>
      </c>
      <c r="AJ21" s="42" t="str">
        <f>IF(AND('Mapa final'!$AA$39="Alta",'Mapa final'!$AC$39="Catastrófico"),CONCATENATE("R6C",'Mapa final'!$Q$39),"")</f>
        <v/>
      </c>
      <c r="AK21" s="42" t="str">
        <f>IF(AND('Mapa final'!$AA$40="Alta",'Mapa final'!$AC$40="Catastrófico"),CONCATENATE("R6C",'Mapa final'!$Q$40),"")</f>
        <v/>
      </c>
      <c r="AL21" s="42" t="str">
        <f>IF(AND('Mapa final'!$AA$41="Alta",'Mapa final'!$AC$41="Catastrófico"),CONCATENATE("R6C",'Mapa final'!$Q$41),"")</f>
        <v/>
      </c>
      <c r="AM21" s="43" t="str">
        <f>IF(AND('Mapa final'!$AA$42="Alta",'Mapa final'!$AC$42="Catastrófico"),CONCATENATE("R6C",'Mapa final'!$Q$42),"")</f>
        <v/>
      </c>
      <c r="AN21" s="70"/>
      <c r="AO21" s="332"/>
      <c r="AP21" s="333"/>
      <c r="AQ21" s="333"/>
      <c r="AR21" s="333"/>
      <c r="AS21" s="333"/>
      <c r="AT21" s="334"/>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81"/>
      <c r="C22" s="281"/>
      <c r="D22" s="282"/>
      <c r="E22" s="322"/>
      <c r="F22" s="323"/>
      <c r="G22" s="323"/>
      <c r="H22" s="323"/>
      <c r="I22" s="339"/>
      <c r="J22" s="54" t="str">
        <f>IF(AND('Mapa final'!$AA$43="Alta",'Mapa final'!$AC$43="Leve"),CONCATENATE("R7C",'Mapa final'!$Q$43),"")</f>
        <v/>
      </c>
      <c r="K22" s="55" t="str">
        <f>IF(AND('Mapa final'!$AA$44="Alta",'Mapa final'!$AC$44="Leve"),CONCATENATE("R7C",'Mapa final'!$Q$44),"")</f>
        <v/>
      </c>
      <c r="L22" s="55" t="str">
        <f>IF(AND('Mapa final'!$AA$45="Alta",'Mapa final'!$AC$45="Leve"),CONCATENATE("R7C",'Mapa final'!$Q$45),"")</f>
        <v/>
      </c>
      <c r="M22" s="55" t="str">
        <f>IF(AND('Mapa final'!$AA$46="Alta",'Mapa final'!$AC$46="Leve"),CONCATENATE("R7C",'Mapa final'!$Q$46),"")</f>
        <v/>
      </c>
      <c r="N22" s="55" t="str">
        <f>IF(AND('Mapa final'!$AA$47="Alta",'Mapa final'!$AC$47="Leve"),CONCATENATE("R7C",'Mapa final'!$Q$47),"")</f>
        <v/>
      </c>
      <c r="O22" s="56" t="str">
        <f>IF(AND('Mapa final'!$AA$48="Alta",'Mapa final'!$AC$48="Leve"),CONCATENATE("R7C",'Mapa final'!$Q$48),"")</f>
        <v/>
      </c>
      <c r="P22" s="54" t="str">
        <f>IF(AND('Mapa final'!$AA$43="Alta",'Mapa final'!$AC$43="Menor"),CONCATENATE("R7C",'Mapa final'!$Q$43),"")</f>
        <v/>
      </c>
      <c r="Q22" s="55" t="str">
        <f>IF(AND('Mapa final'!$AA$44="Alta",'Mapa final'!$AC$44="Menor"),CONCATENATE("R7C",'Mapa final'!$Q$44),"")</f>
        <v/>
      </c>
      <c r="R22" s="55" t="str">
        <f>IF(AND('Mapa final'!$AA$45="Alta",'Mapa final'!$AC$45="Menor"),CONCATENATE("R7C",'Mapa final'!$Q$45),"")</f>
        <v/>
      </c>
      <c r="S22" s="55" t="str">
        <f>IF(AND('Mapa final'!$AA$46="Alta",'Mapa final'!$AC$46="Menor"),CONCATENATE("R7C",'Mapa final'!$Q$46),"")</f>
        <v/>
      </c>
      <c r="T22" s="55" t="str">
        <f>IF(AND('Mapa final'!$AA$47="Alta",'Mapa final'!$AC$47="Menor"),CONCATENATE("R7C",'Mapa final'!$Q$47),"")</f>
        <v/>
      </c>
      <c r="U22" s="56" t="str">
        <f>IF(AND('Mapa final'!$AA$48="Alta",'Mapa final'!$AC$48="Menor"),CONCATENATE("R7C",'Mapa final'!$Q$48),"")</f>
        <v/>
      </c>
      <c r="V22" s="38" t="str">
        <f>IF(AND('Mapa final'!$AA$43="Alta",'Mapa final'!$AC$43="Moderado"),CONCATENATE("R7C",'Mapa final'!$Q$43),"")</f>
        <v/>
      </c>
      <c r="W22" s="39" t="str">
        <f>IF(AND('Mapa final'!$AA$44="Alta",'Mapa final'!$AC$44="Moderado"),CONCATENATE("R7C",'Mapa final'!$Q$44),"")</f>
        <v/>
      </c>
      <c r="X22" s="44" t="str">
        <f>IF(AND('Mapa final'!$AA$45="Alta",'Mapa final'!$AC$45="Moderado"),CONCATENATE("R7C",'Mapa final'!$Q$45),"")</f>
        <v/>
      </c>
      <c r="Y22" s="44" t="str">
        <f>IF(AND('Mapa final'!$AA$46="Alta",'Mapa final'!$AC$46="Moderado"),CONCATENATE("R7C",'Mapa final'!$Q$46),"")</f>
        <v/>
      </c>
      <c r="Z22" s="44" t="str">
        <f>IF(AND('Mapa final'!$AA$47="Alta",'Mapa final'!$AC$47="Moderado"),CONCATENATE("R7C",'Mapa final'!$Q$47),"")</f>
        <v/>
      </c>
      <c r="AA22" s="40" t="str">
        <f>IF(AND('Mapa final'!$AA$48="Alta",'Mapa final'!$AC$48="Moderado"),CONCATENATE("R7C",'Mapa final'!$Q$48),"")</f>
        <v/>
      </c>
      <c r="AB22" s="38" t="str">
        <f>IF(AND('Mapa final'!$AA$43="Alta",'Mapa final'!$AC$43="Mayor"),CONCATENATE("R7C",'Mapa final'!$Q$43),"")</f>
        <v/>
      </c>
      <c r="AC22" s="39" t="str">
        <f>IF(AND('Mapa final'!$AA$44="Alta",'Mapa final'!$AC$44="Mayor"),CONCATENATE("R7C",'Mapa final'!$Q$44),"")</f>
        <v/>
      </c>
      <c r="AD22" s="44" t="str">
        <f>IF(AND('Mapa final'!$AA$45="Alta",'Mapa final'!$AC$45="Mayor"),CONCATENATE("R7C",'Mapa final'!$Q$45),"")</f>
        <v/>
      </c>
      <c r="AE22" s="44" t="str">
        <f>IF(AND('Mapa final'!$AA$46="Alta",'Mapa final'!$AC$46="Mayor"),CONCATENATE("R7C",'Mapa final'!$Q$46),"")</f>
        <v/>
      </c>
      <c r="AF22" s="44" t="str">
        <f>IF(AND('Mapa final'!$AA$47="Alta",'Mapa final'!$AC$47="Mayor"),CONCATENATE("R7C",'Mapa final'!$Q$47),"")</f>
        <v/>
      </c>
      <c r="AG22" s="40" t="str">
        <f>IF(AND('Mapa final'!$AA$48="Alta",'Mapa final'!$AC$48="Mayor"),CONCATENATE("R7C",'Mapa final'!$Q$48),"")</f>
        <v/>
      </c>
      <c r="AH22" s="41" t="str">
        <f>IF(AND('Mapa final'!$AA$43="Alta",'Mapa final'!$AC$43="Catastrófico"),CONCATENATE("R7C",'Mapa final'!$Q$43),"")</f>
        <v/>
      </c>
      <c r="AI22" s="42" t="str">
        <f>IF(AND('Mapa final'!$AA$44="Alta",'Mapa final'!$AC$44="Catastrófico"),CONCATENATE("R7C",'Mapa final'!$Q$44),"")</f>
        <v/>
      </c>
      <c r="AJ22" s="42" t="str">
        <f>IF(AND('Mapa final'!$AA$45="Alta",'Mapa final'!$AC$45="Catastrófico"),CONCATENATE("R7C",'Mapa final'!$Q$45),"")</f>
        <v/>
      </c>
      <c r="AK22" s="42" t="str">
        <f>IF(AND('Mapa final'!$AA$46="Alta",'Mapa final'!$AC$46="Catastrófico"),CONCATENATE("R7C",'Mapa final'!$Q$46),"")</f>
        <v/>
      </c>
      <c r="AL22" s="42" t="str">
        <f>IF(AND('Mapa final'!$AA$47="Alta",'Mapa final'!$AC$47="Catastrófico"),CONCATENATE("R7C",'Mapa final'!$Q$47),"")</f>
        <v/>
      </c>
      <c r="AM22" s="43" t="str">
        <f>IF(AND('Mapa final'!$AA$48="Alta",'Mapa final'!$AC$48="Catastrófico"),CONCATENATE("R7C",'Mapa final'!$Q$48),"")</f>
        <v/>
      </c>
      <c r="AN22" s="70"/>
      <c r="AO22" s="332"/>
      <c r="AP22" s="333"/>
      <c r="AQ22" s="333"/>
      <c r="AR22" s="333"/>
      <c r="AS22" s="333"/>
      <c r="AT22" s="334"/>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81"/>
      <c r="C23" s="281"/>
      <c r="D23" s="282"/>
      <c r="E23" s="322"/>
      <c r="F23" s="323"/>
      <c r="G23" s="323"/>
      <c r="H23" s="323"/>
      <c r="I23" s="339"/>
      <c r="J23" s="54" t="str">
        <f>IF(AND('Mapa final'!$AA$49="Alta",'Mapa final'!$AC$49="Leve"),CONCATENATE("R8C",'Mapa final'!$Q$49),"")</f>
        <v/>
      </c>
      <c r="K23" s="55" t="str">
        <f>IF(AND('Mapa final'!$AA$50="Alta",'Mapa final'!$AC$50="Leve"),CONCATENATE("R8C",'Mapa final'!$Q$50),"")</f>
        <v/>
      </c>
      <c r="L23" s="55" t="str">
        <f>IF(AND('Mapa final'!$AA$51="Alta",'Mapa final'!$AC$51="Leve"),CONCATENATE("R8C",'Mapa final'!$Q$51),"")</f>
        <v/>
      </c>
      <c r="M23" s="55" t="str">
        <f>IF(AND('Mapa final'!$AA$52="Alta",'Mapa final'!$AC$52="Leve"),CONCATENATE("R8C",'Mapa final'!$Q$52),"")</f>
        <v/>
      </c>
      <c r="N23" s="55" t="str">
        <f>IF(AND('Mapa final'!$AA$53="Alta",'Mapa final'!$AC$53="Leve"),CONCATENATE("R8C",'Mapa final'!$Q$53),"")</f>
        <v/>
      </c>
      <c r="O23" s="56" t="str">
        <f>IF(AND('Mapa final'!$AA$54="Alta",'Mapa final'!$AC$54="Leve"),CONCATENATE("R8C",'Mapa final'!$Q$54),"")</f>
        <v/>
      </c>
      <c r="P23" s="54" t="str">
        <f>IF(AND('Mapa final'!$AA$49="Alta",'Mapa final'!$AC$49="Menor"),CONCATENATE("R8C",'Mapa final'!$Q$49),"")</f>
        <v/>
      </c>
      <c r="Q23" s="55" t="str">
        <f>IF(AND('Mapa final'!$AA$50="Alta",'Mapa final'!$AC$50="Menor"),CONCATENATE("R8C",'Mapa final'!$Q$50),"")</f>
        <v/>
      </c>
      <c r="R23" s="55" t="str">
        <f>IF(AND('Mapa final'!$AA$51="Alta",'Mapa final'!$AC$51="Menor"),CONCATENATE("R8C",'Mapa final'!$Q$51),"")</f>
        <v/>
      </c>
      <c r="S23" s="55" t="str">
        <f>IF(AND('Mapa final'!$AA$52="Alta",'Mapa final'!$AC$52="Menor"),CONCATENATE("R8C",'Mapa final'!$Q$52),"")</f>
        <v/>
      </c>
      <c r="T23" s="55" t="str">
        <f>IF(AND('Mapa final'!$AA$53="Alta",'Mapa final'!$AC$53="Menor"),CONCATENATE("R8C",'Mapa final'!$Q$53),"")</f>
        <v/>
      </c>
      <c r="U23" s="56" t="str">
        <f>IF(AND('Mapa final'!$AA$54="Alta",'Mapa final'!$AC$54="Menor"),CONCATENATE("R8C",'Mapa final'!$Q$54),"")</f>
        <v/>
      </c>
      <c r="V23" s="38" t="str">
        <f>IF(AND('Mapa final'!$AA$49="Alta",'Mapa final'!$AC$49="Moderado"),CONCATENATE("R8C",'Mapa final'!$Q$49),"")</f>
        <v/>
      </c>
      <c r="W23" s="39" t="str">
        <f>IF(AND('Mapa final'!$AA$50="Alta",'Mapa final'!$AC$50="Moderado"),CONCATENATE("R8C",'Mapa final'!$Q$50),"")</f>
        <v/>
      </c>
      <c r="X23" s="44" t="str">
        <f>IF(AND('Mapa final'!$AA$51="Alta",'Mapa final'!$AC$51="Moderado"),CONCATENATE("R8C",'Mapa final'!$Q$51),"")</f>
        <v/>
      </c>
      <c r="Y23" s="44" t="str">
        <f>IF(AND('Mapa final'!$AA$52="Alta",'Mapa final'!$AC$52="Moderado"),CONCATENATE("R8C",'Mapa final'!$Q$52),"")</f>
        <v/>
      </c>
      <c r="Z23" s="44" t="str">
        <f>IF(AND('Mapa final'!$AA$53="Alta",'Mapa final'!$AC$53="Moderado"),CONCATENATE("R8C",'Mapa final'!$Q$53),"")</f>
        <v/>
      </c>
      <c r="AA23" s="40" t="str">
        <f>IF(AND('Mapa final'!$AA$54="Alta",'Mapa final'!$AC$54="Moderado"),CONCATENATE("R8C",'Mapa final'!$Q$54),"")</f>
        <v/>
      </c>
      <c r="AB23" s="38" t="str">
        <f>IF(AND('Mapa final'!$AA$49="Alta",'Mapa final'!$AC$49="Mayor"),CONCATENATE("R8C",'Mapa final'!$Q$49),"")</f>
        <v/>
      </c>
      <c r="AC23" s="39" t="str">
        <f>IF(AND('Mapa final'!$AA$50="Alta",'Mapa final'!$AC$50="Mayor"),CONCATENATE("R8C",'Mapa final'!$Q$50),"")</f>
        <v/>
      </c>
      <c r="AD23" s="44" t="str">
        <f>IF(AND('Mapa final'!$AA$51="Alta",'Mapa final'!$AC$51="Mayor"),CONCATENATE("R8C",'Mapa final'!$Q$51),"")</f>
        <v/>
      </c>
      <c r="AE23" s="44" t="str">
        <f>IF(AND('Mapa final'!$AA$52="Alta",'Mapa final'!$AC$52="Mayor"),CONCATENATE("R8C",'Mapa final'!$Q$52),"")</f>
        <v/>
      </c>
      <c r="AF23" s="44" t="str">
        <f>IF(AND('Mapa final'!$AA$53="Alta",'Mapa final'!$AC$53="Mayor"),CONCATENATE("R8C",'Mapa final'!$Q$53),"")</f>
        <v/>
      </c>
      <c r="AG23" s="40" t="str">
        <f>IF(AND('Mapa final'!$AA$54="Alta",'Mapa final'!$AC$54="Mayor"),CONCATENATE("R8C",'Mapa final'!$Q$54),"")</f>
        <v/>
      </c>
      <c r="AH23" s="41" t="str">
        <f>IF(AND('Mapa final'!$AA$49="Alta",'Mapa final'!$AC$49="Catastrófico"),CONCATENATE("R8C",'Mapa final'!$Q$49),"")</f>
        <v/>
      </c>
      <c r="AI23" s="42" t="str">
        <f>IF(AND('Mapa final'!$AA$50="Alta",'Mapa final'!$AC$50="Catastrófico"),CONCATENATE("R8C",'Mapa final'!$Q$50),"")</f>
        <v/>
      </c>
      <c r="AJ23" s="42" t="str">
        <f>IF(AND('Mapa final'!$AA$51="Alta",'Mapa final'!$AC$51="Catastrófico"),CONCATENATE("R8C",'Mapa final'!$Q$51),"")</f>
        <v/>
      </c>
      <c r="AK23" s="42" t="str">
        <f>IF(AND('Mapa final'!$AA$52="Alta",'Mapa final'!$AC$52="Catastrófico"),CONCATENATE("R8C",'Mapa final'!$Q$52),"")</f>
        <v/>
      </c>
      <c r="AL23" s="42" t="str">
        <f>IF(AND('Mapa final'!$AA$53="Alta",'Mapa final'!$AC$53="Catastrófico"),CONCATENATE("R8C",'Mapa final'!$Q$53),"")</f>
        <v/>
      </c>
      <c r="AM23" s="43" t="str">
        <f>IF(AND('Mapa final'!$AA$54="Alta",'Mapa final'!$AC$54="Catastrófico"),CONCATENATE("R8C",'Mapa final'!$Q$54),"")</f>
        <v/>
      </c>
      <c r="AN23" s="70"/>
      <c r="AO23" s="332"/>
      <c r="AP23" s="333"/>
      <c r="AQ23" s="333"/>
      <c r="AR23" s="333"/>
      <c r="AS23" s="333"/>
      <c r="AT23" s="334"/>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81"/>
      <c r="C24" s="281"/>
      <c r="D24" s="282"/>
      <c r="E24" s="322"/>
      <c r="F24" s="323"/>
      <c r="G24" s="323"/>
      <c r="H24" s="323"/>
      <c r="I24" s="339"/>
      <c r="J24" s="54" t="str">
        <f>IF(AND('Mapa final'!$AA$55="Alta",'Mapa final'!$AC$55="Leve"),CONCATENATE("R9C",'Mapa final'!$Q$55),"")</f>
        <v/>
      </c>
      <c r="K24" s="55" t="str">
        <f>IF(AND('Mapa final'!$AA$56="Alta",'Mapa final'!$AC$56="Leve"),CONCATENATE("R9C",'Mapa final'!$Q$56),"")</f>
        <v/>
      </c>
      <c r="L24" s="55" t="str">
        <f>IF(AND('Mapa final'!$AA$57="Alta",'Mapa final'!$AC$57="Leve"),CONCATENATE("R9C",'Mapa final'!$Q$57),"")</f>
        <v/>
      </c>
      <c r="M24" s="55" t="str">
        <f>IF(AND('Mapa final'!$AA$58="Alta",'Mapa final'!$AC$58="Leve"),CONCATENATE("R9C",'Mapa final'!$Q$58),"")</f>
        <v/>
      </c>
      <c r="N24" s="55" t="str">
        <f>IF(AND('Mapa final'!$AA$59="Alta",'Mapa final'!$AC$59="Leve"),CONCATENATE("R9C",'Mapa final'!$Q$59),"")</f>
        <v/>
      </c>
      <c r="O24" s="56" t="str">
        <f>IF(AND('Mapa final'!$AA$60="Alta",'Mapa final'!$AC$60="Leve"),CONCATENATE("R9C",'Mapa final'!$Q$60),"")</f>
        <v/>
      </c>
      <c r="P24" s="54" t="str">
        <f>IF(AND('Mapa final'!$AA$55="Alta",'Mapa final'!$AC$55="Menor"),CONCATENATE("R9C",'Mapa final'!$Q$55),"")</f>
        <v/>
      </c>
      <c r="Q24" s="55" t="str">
        <f>IF(AND('Mapa final'!$AA$56="Alta",'Mapa final'!$AC$56="Menor"),CONCATENATE("R9C",'Mapa final'!$Q$56),"")</f>
        <v/>
      </c>
      <c r="R24" s="55" t="str">
        <f>IF(AND('Mapa final'!$AA$57="Alta",'Mapa final'!$AC$57="Menor"),CONCATENATE("R9C",'Mapa final'!$Q$57),"")</f>
        <v/>
      </c>
      <c r="S24" s="55" t="str">
        <f>IF(AND('Mapa final'!$AA$58="Alta",'Mapa final'!$AC$58="Menor"),CONCATENATE("R9C",'Mapa final'!$Q$58),"")</f>
        <v/>
      </c>
      <c r="T24" s="55" t="str">
        <f>IF(AND('Mapa final'!$AA$59="Alta",'Mapa final'!$AC$59="Menor"),CONCATENATE("R9C",'Mapa final'!$Q$59),"")</f>
        <v/>
      </c>
      <c r="U24" s="56" t="str">
        <f>IF(AND('Mapa final'!$AA$60="Alta",'Mapa final'!$AC$60="Menor"),CONCATENATE("R9C",'Mapa final'!$Q$60),"")</f>
        <v/>
      </c>
      <c r="V24" s="38" t="str">
        <f>IF(AND('Mapa final'!$AA$55="Alta",'Mapa final'!$AC$55="Moderado"),CONCATENATE("R9C",'Mapa final'!$Q$55),"")</f>
        <v/>
      </c>
      <c r="W24" s="39" t="str">
        <f>IF(AND('Mapa final'!$AA$56="Alta",'Mapa final'!$AC$56="Moderado"),CONCATENATE("R9C",'Mapa final'!$Q$56),"")</f>
        <v/>
      </c>
      <c r="X24" s="44" t="str">
        <f>IF(AND('Mapa final'!$AA$57="Alta",'Mapa final'!$AC$57="Moderado"),CONCATENATE("R9C",'Mapa final'!$Q$57),"")</f>
        <v/>
      </c>
      <c r="Y24" s="44" t="str">
        <f>IF(AND('Mapa final'!$AA$58="Alta",'Mapa final'!$AC$58="Moderado"),CONCATENATE("R9C",'Mapa final'!$Q$58),"")</f>
        <v/>
      </c>
      <c r="Z24" s="44" t="str">
        <f>IF(AND('Mapa final'!$AA$59="Alta",'Mapa final'!$AC$59="Moderado"),CONCATENATE("R9C",'Mapa final'!$Q$59),"")</f>
        <v/>
      </c>
      <c r="AA24" s="40" t="str">
        <f>IF(AND('Mapa final'!$AA$60="Alta",'Mapa final'!$AC$60="Moderado"),CONCATENATE("R9C",'Mapa final'!$Q$60),"")</f>
        <v/>
      </c>
      <c r="AB24" s="38" t="str">
        <f>IF(AND('Mapa final'!$AA$55="Alta",'Mapa final'!$AC$55="Mayor"),CONCATENATE("R9C",'Mapa final'!$Q$55),"")</f>
        <v/>
      </c>
      <c r="AC24" s="39" t="str">
        <f>IF(AND('Mapa final'!$AA$56="Alta",'Mapa final'!$AC$56="Mayor"),CONCATENATE("R9C",'Mapa final'!$Q$56),"")</f>
        <v/>
      </c>
      <c r="AD24" s="44" t="str">
        <f>IF(AND('Mapa final'!$AA$57="Alta",'Mapa final'!$AC$57="Mayor"),CONCATENATE("R9C",'Mapa final'!$Q$57),"")</f>
        <v/>
      </c>
      <c r="AE24" s="44" t="str">
        <f>IF(AND('Mapa final'!$AA$58="Alta",'Mapa final'!$AC$58="Mayor"),CONCATENATE("R9C",'Mapa final'!$Q$58),"")</f>
        <v/>
      </c>
      <c r="AF24" s="44" t="str">
        <f>IF(AND('Mapa final'!$AA$59="Alta",'Mapa final'!$AC$59="Mayor"),CONCATENATE("R9C",'Mapa final'!$Q$59),"")</f>
        <v/>
      </c>
      <c r="AG24" s="40" t="str">
        <f>IF(AND('Mapa final'!$AA$60="Alta",'Mapa final'!$AC$60="Mayor"),CONCATENATE("R9C",'Mapa final'!$Q$60),"")</f>
        <v/>
      </c>
      <c r="AH24" s="41" t="str">
        <f>IF(AND('Mapa final'!$AA$55="Alta",'Mapa final'!$AC$55="Catastrófico"),CONCATENATE("R9C",'Mapa final'!$Q$55),"")</f>
        <v/>
      </c>
      <c r="AI24" s="42" t="str">
        <f>IF(AND('Mapa final'!$AA$56="Alta",'Mapa final'!$AC$56="Catastrófico"),CONCATENATE("R9C",'Mapa final'!$Q$56),"")</f>
        <v/>
      </c>
      <c r="AJ24" s="42" t="str">
        <f>IF(AND('Mapa final'!$AA$57="Alta",'Mapa final'!$AC$57="Catastrófico"),CONCATENATE("R9C",'Mapa final'!$Q$57),"")</f>
        <v/>
      </c>
      <c r="AK24" s="42" t="str">
        <f>IF(AND('Mapa final'!$AA$58="Alta",'Mapa final'!$AC$58="Catastrófico"),CONCATENATE("R9C",'Mapa final'!$Q$58),"")</f>
        <v/>
      </c>
      <c r="AL24" s="42" t="str">
        <f>IF(AND('Mapa final'!$AA$59="Alta",'Mapa final'!$AC$59="Catastrófico"),CONCATENATE("R9C",'Mapa final'!$Q$59),"")</f>
        <v/>
      </c>
      <c r="AM24" s="43" t="str">
        <f>IF(AND('Mapa final'!$AA$60="Alta",'Mapa final'!$AC$60="Catastrófico"),CONCATENATE("R9C",'Mapa final'!$Q$60),"")</f>
        <v/>
      </c>
      <c r="AN24" s="70"/>
      <c r="AO24" s="332"/>
      <c r="AP24" s="333"/>
      <c r="AQ24" s="333"/>
      <c r="AR24" s="333"/>
      <c r="AS24" s="333"/>
      <c r="AT24" s="334"/>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81"/>
      <c r="C25" s="281"/>
      <c r="D25" s="282"/>
      <c r="E25" s="325"/>
      <c r="F25" s="326"/>
      <c r="G25" s="326"/>
      <c r="H25" s="326"/>
      <c r="I25" s="326"/>
      <c r="J25" s="57" t="str">
        <f>IF(AND('Mapa final'!$AA$61="Alta",'Mapa final'!$AC$61="Leve"),CONCATENATE("R10C",'Mapa final'!$Q$61),"")</f>
        <v/>
      </c>
      <c r="K25" s="58" t="str">
        <f>IF(AND('Mapa final'!$AA$62="Alta",'Mapa final'!$AC$62="Leve"),CONCATENATE("R10C",'Mapa final'!$Q$62),"")</f>
        <v/>
      </c>
      <c r="L25" s="58" t="str">
        <f>IF(AND('Mapa final'!$AA$63="Alta",'Mapa final'!$AC$63="Leve"),CONCATENATE("R10C",'Mapa final'!$Q$63),"")</f>
        <v/>
      </c>
      <c r="M25" s="58" t="str">
        <f>IF(AND('Mapa final'!$AA$64="Alta",'Mapa final'!$AC$64="Leve"),CONCATENATE("R10C",'Mapa final'!$Q$64),"")</f>
        <v/>
      </c>
      <c r="N25" s="58" t="str">
        <f>IF(AND('Mapa final'!$AA$65="Alta",'Mapa final'!$AC$65="Leve"),CONCATENATE("R10C",'Mapa final'!$Q$65),"")</f>
        <v/>
      </c>
      <c r="O25" s="59" t="str">
        <f>IF(AND('Mapa final'!$AA$66="Alta",'Mapa final'!$AC$66="Leve"),CONCATENATE("R10C",'Mapa final'!$Q$66),"")</f>
        <v/>
      </c>
      <c r="P25" s="57" t="str">
        <f>IF(AND('Mapa final'!$AA$61="Alta",'Mapa final'!$AC$61="Menor"),CONCATENATE("R10C",'Mapa final'!$Q$61),"")</f>
        <v/>
      </c>
      <c r="Q25" s="58" t="str">
        <f>IF(AND('Mapa final'!$AA$62="Alta",'Mapa final'!$AC$62="Menor"),CONCATENATE("R10C",'Mapa final'!$Q$62),"")</f>
        <v/>
      </c>
      <c r="R25" s="58" t="str">
        <f>IF(AND('Mapa final'!$AA$63="Alta",'Mapa final'!$AC$63="Menor"),CONCATENATE("R10C",'Mapa final'!$Q$63),"")</f>
        <v/>
      </c>
      <c r="S25" s="58" t="str">
        <f>IF(AND('Mapa final'!$AA$64="Alta",'Mapa final'!$AC$64="Menor"),CONCATENATE("R10C",'Mapa final'!$Q$64),"")</f>
        <v/>
      </c>
      <c r="T25" s="58" t="str">
        <f>IF(AND('Mapa final'!$AA$65="Alta",'Mapa final'!$AC$65="Menor"),CONCATENATE("R10C",'Mapa final'!$Q$65),"")</f>
        <v/>
      </c>
      <c r="U25" s="59" t="str">
        <f>IF(AND('Mapa final'!$AA$66="Alta",'Mapa final'!$AC$66="Menor"),CONCATENATE("R10C",'Mapa final'!$Q$66),"")</f>
        <v/>
      </c>
      <c r="V25" s="45" t="str">
        <f>IF(AND('Mapa final'!$AA$61="Alta",'Mapa final'!$AC$61="Moderado"),CONCATENATE("R10C",'Mapa final'!$Q$61),"")</f>
        <v/>
      </c>
      <c r="W25" s="46" t="str">
        <f>IF(AND('Mapa final'!$AA$62="Alta",'Mapa final'!$AC$62="Moderado"),CONCATENATE("R10C",'Mapa final'!$Q$62),"")</f>
        <v/>
      </c>
      <c r="X25" s="46" t="str">
        <f>IF(AND('Mapa final'!$AA$63="Alta",'Mapa final'!$AC$63="Moderado"),CONCATENATE("R10C",'Mapa final'!$Q$63),"")</f>
        <v/>
      </c>
      <c r="Y25" s="46" t="str">
        <f>IF(AND('Mapa final'!$AA$64="Alta",'Mapa final'!$AC$64="Moderado"),CONCATENATE("R10C",'Mapa final'!$Q$64),"")</f>
        <v/>
      </c>
      <c r="Z25" s="46" t="str">
        <f>IF(AND('Mapa final'!$AA$65="Alta",'Mapa final'!$AC$65="Moderado"),CONCATENATE("R10C",'Mapa final'!$Q$65),"")</f>
        <v/>
      </c>
      <c r="AA25" s="47" t="str">
        <f>IF(AND('Mapa final'!$AA$66="Alta",'Mapa final'!$AC$66="Moderado"),CONCATENATE("R10C",'Mapa final'!$Q$66),"")</f>
        <v/>
      </c>
      <c r="AB25" s="45" t="str">
        <f>IF(AND('Mapa final'!$AA$61="Alta",'Mapa final'!$AC$61="Mayor"),CONCATENATE("R10C",'Mapa final'!$Q$61),"")</f>
        <v/>
      </c>
      <c r="AC25" s="46" t="str">
        <f>IF(AND('Mapa final'!$AA$62="Alta",'Mapa final'!$AC$62="Mayor"),CONCATENATE("R10C",'Mapa final'!$Q$62),"")</f>
        <v/>
      </c>
      <c r="AD25" s="46" t="str">
        <f>IF(AND('Mapa final'!$AA$63="Alta",'Mapa final'!$AC$63="Mayor"),CONCATENATE("R10C",'Mapa final'!$Q$63),"")</f>
        <v/>
      </c>
      <c r="AE25" s="46" t="str">
        <f>IF(AND('Mapa final'!$AA$64="Alta",'Mapa final'!$AC$64="Mayor"),CONCATENATE("R10C",'Mapa final'!$Q$64),"")</f>
        <v/>
      </c>
      <c r="AF25" s="46" t="str">
        <f>IF(AND('Mapa final'!$AA$65="Alta",'Mapa final'!$AC$65="Mayor"),CONCATENATE("R10C",'Mapa final'!$Q$65),"")</f>
        <v/>
      </c>
      <c r="AG25" s="47" t="str">
        <f>IF(AND('Mapa final'!$AA$66="Alta",'Mapa final'!$AC$66="Mayor"),CONCATENATE("R10C",'Mapa final'!$Q$66),"")</f>
        <v/>
      </c>
      <c r="AH25" s="48" t="str">
        <f>IF(AND('Mapa final'!$AA$61="Alta",'Mapa final'!$AC$61="Catastrófico"),CONCATENATE("R10C",'Mapa final'!$Q$61),"")</f>
        <v/>
      </c>
      <c r="AI25" s="49" t="str">
        <f>IF(AND('Mapa final'!$AA$62="Alta",'Mapa final'!$AC$62="Catastrófico"),CONCATENATE("R10C",'Mapa final'!$Q$62),"")</f>
        <v/>
      </c>
      <c r="AJ25" s="49" t="str">
        <f>IF(AND('Mapa final'!$AA$63="Alta",'Mapa final'!$AC$63="Catastrófico"),CONCATENATE("R10C",'Mapa final'!$Q$63),"")</f>
        <v/>
      </c>
      <c r="AK25" s="49" t="str">
        <f>IF(AND('Mapa final'!$AA$64="Alta",'Mapa final'!$AC$64="Catastrófico"),CONCATENATE("R10C",'Mapa final'!$Q$64),"")</f>
        <v/>
      </c>
      <c r="AL25" s="49" t="str">
        <f>IF(AND('Mapa final'!$AA$65="Alta",'Mapa final'!$AC$65="Catastrófico"),CONCATENATE("R10C",'Mapa final'!$Q$65),"")</f>
        <v/>
      </c>
      <c r="AM25" s="50" t="str">
        <f>IF(AND('Mapa final'!$AA$66="Alta",'Mapa final'!$AC$66="Catastrófico"),CONCATENATE("R10C",'Mapa final'!$Q$66),"")</f>
        <v/>
      </c>
      <c r="AN25" s="70"/>
      <c r="AO25" s="335"/>
      <c r="AP25" s="336"/>
      <c r="AQ25" s="336"/>
      <c r="AR25" s="336"/>
      <c r="AS25" s="336"/>
      <c r="AT25" s="337"/>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81"/>
      <c r="C26" s="281"/>
      <c r="D26" s="282"/>
      <c r="E26" s="319" t="s">
        <v>113</v>
      </c>
      <c r="F26" s="320"/>
      <c r="G26" s="320"/>
      <c r="H26" s="320"/>
      <c r="I26" s="321"/>
      <c r="J26" s="51" t="str">
        <f>IF(AND('Mapa final'!$AA$7="Media",'Mapa final'!$AC$7="Leve"),CONCATENATE("R1C",'Mapa final'!$Q$7),"")</f>
        <v/>
      </c>
      <c r="K26" s="52" t="str">
        <f>IF(AND('Mapa final'!$AA$8="Media",'Mapa final'!$AC$8="Leve"),CONCATENATE("R1C",'Mapa final'!$Q$8),"")</f>
        <v/>
      </c>
      <c r="L26" s="52" t="str">
        <f>IF(AND('Mapa final'!$AA$9="Media",'Mapa final'!$AC$9="Leve"),CONCATENATE("R1C",'Mapa final'!$Q$9),"")</f>
        <v/>
      </c>
      <c r="M26" s="52" t="str">
        <f>IF(AND('Mapa final'!$AA$10="Media",'Mapa final'!$AC$10="Leve"),CONCATENATE("R1C",'Mapa final'!$Q$10),"")</f>
        <v/>
      </c>
      <c r="N26" s="52" t="str">
        <f>IF(AND('Mapa final'!$AA$11="Media",'Mapa final'!$AC$11="Leve"),CONCATENATE("R1C",'Mapa final'!$Q$11),"")</f>
        <v/>
      </c>
      <c r="O26" s="53" t="str">
        <f>IF(AND('Mapa final'!$AA$12="Media",'Mapa final'!$AC$12="Leve"),CONCATENATE("R1C",'Mapa final'!$Q$12),"")</f>
        <v/>
      </c>
      <c r="P26" s="51" t="str">
        <f>IF(AND('Mapa final'!$AA$7="Media",'Mapa final'!$AC$7="Menor"),CONCATENATE("R1C",'Mapa final'!$Q$7),"")</f>
        <v/>
      </c>
      <c r="Q26" s="52" t="str">
        <f>IF(AND('Mapa final'!$AA$8="Media",'Mapa final'!$AC$8="Menor"),CONCATENATE("R1C",'Mapa final'!$Q$8),"")</f>
        <v/>
      </c>
      <c r="R26" s="52" t="str">
        <f>IF(AND('Mapa final'!$AA$9="Media",'Mapa final'!$AC$9="Menor"),CONCATENATE("R1C",'Mapa final'!$Q$9),"")</f>
        <v/>
      </c>
      <c r="S26" s="52" t="str">
        <f>IF(AND('Mapa final'!$AA$10="Media",'Mapa final'!$AC$10="Menor"),CONCATENATE("R1C",'Mapa final'!$Q$10),"")</f>
        <v/>
      </c>
      <c r="T26" s="52" t="str">
        <f>IF(AND('Mapa final'!$AA$11="Media",'Mapa final'!$AC$11="Menor"),CONCATENATE("R1C",'Mapa final'!$Q$11),"")</f>
        <v/>
      </c>
      <c r="U26" s="53" t="str">
        <f>IF(AND('Mapa final'!$AA$12="Media",'Mapa final'!$AC$12="Menor"),CONCATENATE("R1C",'Mapa final'!$Q$12),"")</f>
        <v/>
      </c>
      <c r="V26" s="51" t="str">
        <f>IF(AND('Mapa final'!$AA$7="Media",'Mapa final'!$AC$7="Moderado"),CONCATENATE("R1C",'Mapa final'!$Q$7),"")</f>
        <v/>
      </c>
      <c r="W26" s="52" t="str">
        <f>IF(AND('Mapa final'!$AA$8="Media",'Mapa final'!$AC$8="Moderado"),CONCATENATE("R1C",'Mapa final'!$Q$8),"")</f>
        <v/>
      </c>
      <c r="X26" s="52" t="str">
        <f>IF(AND('Mapa final'!$AA$9="Media",'Mapa final'!$AC$9="Moderado"),CONCATENATE("R1C",'Mapa final'!$Q$9),"")</f>
        <v/>
      </c>
      <c r="Y26" s="52" t="str">
        <f>IF(AND('Mapa final'!$AA$10="Media",'Mapa final'!$AC$10="Moderado"),CONCATENATE("R1C",'Mapa final'!$Q$10),"")</f>
        <v/>
      </c>
      <c r="Z26" s="52" t="str">
        <f>IF(AND('Mapa final'!$AA$11="Media",'Mapa final'!$AC$11="Moderado"),CONCATENATE("R1C",'Mapa final'!$Q$11),"")</f>
        <v/>
      </c>
      <c r="AA26" s="53" t="str">
        <f>IF(AND('Mapa final'!$AA$12="Media",'Mapa final'!$AC$12="Moderado"),CONCATENATE("R1C",'Mapa final'!$Q$12),"")</f>
        <v/>
      </c>
      <c r="AB26" s="32" t="str">
        <f>IF(AND('Mapa final'!$AA$7="Media",'Mapa final'!$AC$7="Mayor"),CONCATENATE("R1C",'Mapa final'!$Q$7),"")</f>
        <v/>
      </c>
      <c r="AC26" s="33" t="str">
        <f>IF(AND('Mapa final'!$AA$8="Media",'Mapa final'!$AC$8="Mayor"),CONCATENATE("R1C",'Mapa final'!$Q$8),"")</f>
        <v/>
      </c>
      <c r="AD26" s="33" t="str">
        <f>IF(AND('Mapa final'!$AA$9="Media",'Mapa final'!$AC$9="Mayor"),CONCATENATE("R1C",'Mapa final'!$Q$9),"")</f>
        <v/>
      </c>
      <c r="AE26" s="33" t="str">
        <f>IF(AND('Mapa final'!$AA$10="Media",'Mapa final'!$AC$10="Mayor"),CONCATENATE("R1C",'Mapa final'!$Q$10),"")</f>
        <v/>
      </c>
      <c r="AF26" s="33" t="str">
        <f>IF(AND('Mapa final'!$AA$11="Media",'Mapa final'!$AC$11="Mayor"),CONCATENATE("R1C",'Mapa final'!$Q$11),"")</f>
        <v/>
      </c>
      <c r="AG26" s="34" t="str">
        <f>IF(AND('Mapa final'!$AA$12="Media",'Mapa final'!$AC$12="Mayor"),CONCATENATE("R1C",'Mapa final'!$Q$12),"")</f>
        <v/>
      </c>
      <c r="AH26" s="35" t="str">
        <f>IF(AND('Mapa final'!$AA$7="Media",'Mapa final'!$AC$7="Catastrófico"),CONCATENATE("R1C",'Mapa final'!$Q$7),"")</f>
        <v/>
      </c>
      <c r="AI26" s="36" t="str">
        <f>IF(AND('Mapa final'!$AA$8="Media",'Mapa final'!$AC$8="Catastrófico"),CONCATENATE("R1C",'Mapa final'!$Q$8),"")</f>
        <v/>
      </c>
      <c r="AJ26" s="36" t="str">
        <f>IF(AND('Mapa final'!$AA$9="Media",'Mapa final'!$AC$9="Catastrófico"),CONCATENATE("R1C",'Mapa final'!$Q$9),"")</f>
        <v/>
      </c>
      <c r="AK26" s="36" t="str">
        <f>IF(AND('Mapa final'!$AA$10="Media",'Mapa final'!$AC$10="Catastrófico"),CONCATENATE("R1C",'Mapa final'!$Q$10),"")</f>
        <v/>
      </c>
      <c r="AL26" s="36" t="str">
        <f>IF(AND('Mapa final'!$AA$11="Media",'Mapa final'!$AC$11="Catastrófico"),CONCATENATE("R1C",'Mapa final'!$Q$11),"")</f>
        <v/>
      </c>
      <c r="AM26" s="37" t="str">
        <f>IF(AND('Mapa final'!$AA$12="Media",'Mapa final'!$AC$12="Catastrófico"),CONCATENATE("R1C",'Mapa final'!$Q$12),"")</f>
        <v/>
      </c>
      <c r="AN26" s="70"/>
      <c r="AO26" s="360" t="s">
        <v>77</v>
      </c>
      <c r="AP26" s="361"/>
      <c r="AQ26" s="361"/>
      <c r="AR26" s="361"/>
      <c r="AS26" s="361"/>
      <c r="AT26" s="362"/>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81"/>
      <c r="C27" s="281"/>
      <c r="D27" s="282"/>
      <c r="E27" s="338"/>
      <c r="F27" s="339"/>
      <c r="G27" s="339"/>
      <c r="H27" s="339"/>
      <c r="I27" s="324"/>
      <c r="J27" s="54" t="str">
        <f ca="1">IF(AND('Mapa final'!$AA$13="Media",'Mapa final'!$AC$13="Leve"),CONCATENATE("R2C",'Mapa final'!$Q$13),"")</f>
        <v/>
      </c>
      <c r="K27" s="55" t="str">
        <f>IF(AND('Mapa final'!$AA$14="Media",'Mapa final'!$AC$14="Leve"),CONCATENATE("R2C",'Mapa final'!$Q$14),"")</f>
        <v/>
      </c>
      <c r="L27" s="55" t="str">
        <f>IF(AND('Mapa final'!$AA$15="Media",'Mapa final'!$AC$15="Leve"),CONCATENATE("R2C",'Mapa final'!$Q$15),"")</f>
        <v/>
      </c>
      <c r="M27" s="55" t="str">
        <f>IF(AND('Mapa final'!$AA$16="Media",'Mapa final'!$AC$16="Leve"),CONCATENATE("R2C",'Mapa final'!$Q$16),"")</f>
        <v/>
      </c>
      <c r="N27" s="55" t="str">
        <f>IF(AND('Mapa final'!$AA$17="Media",'Mapa final'!$AC$17="Leve"),CONCATENATE("R2C",'Mapa final'!$Q$17),"")</f>
        <v/>
      </c>
      <c r="O27" s="56" t="str">
        <f>IF(AND('Mapa final'!$AA$18="Media",'Mapa final'!$AC$18="Leve"),CONCATENATE("R2C",'Mapa final'!$Q$18),"")</f>
        <v/>
      </c>
      <c r="P27" s="54" t="str">
        <f ca="1">IF(AND('Mapa final'!$AA$13="Media",'Mapa final'!$AC$13="Menor"),CONCATENATE("R2C",'Mapa final'!$Q$13),"")</f>
        <v/>
      </c>
      <c r="Q27" s="55" t="str">
        <f>IF(AND('Mapa final'!$AA$14="Media",'Mapa final'!$AC$14="Menor"),CONCATENATE("R2C",'Mapa final'!$Q$14),"")</f>
        <v/>
      </c>
      <c r="R27" s="55" t="str">
        <f>IF(AND('Mapa final'!$AA$15="Media",'Mapa final'!$AC$15="Menor"),CONCATENATE("R2C",'Mapa final'!$Q$15),"")</f>
        <v/>
      </c>
      <c r="S27" s="55" t="str">
        <f>IF(AND('Mapa final'!$AA$16="Media",'Mapa final'!$AC$16="Menor"),CONCATENATE("R2C",'Mapa final'!$Q$16),"")</f>
        <v/>
      </c>
      <c r="T27" s="55" t="str">
        <f>IF(AND('Mapa final'!$AA$17="Media",'Mapa final'!$AC$17="Menor"),CONCATENATE("R2C",'Mapa final'!$Q$17),"")</f>
        <v/>
      </c>
      <c r="U27" s="56" t="str">
        <f>IF(AND('Mapa final'!$AA$18="Media",'Mapa final'!$AC$18="Menor"),CONCATENATE("R2C",'Mapa final'!$Q$18),"")</f>
        <v/>
      </c>
      <c r="V27" s="54" t="str">
        <f ca="1">IF(AND('Mapa final'!$AA$13="Media",'Mapa final'!$AC$13="Moderado"),CONCATENATE("R2C",'Mapa final'!$Q$13),"")</f>
        <v/>
      </c>
      <c r="W27" s="55" t="str">
        <f>IF(AND('Mapa final'!$AA$14="Media",'Mapa final'!$AC$14="Moderado"),CONCATENATE("R2C",'Mapa final'!$Q$14),"")</f>
        <v/>
      </c>
      <c r="X27" s="55" t="str">
        <f>IF(AND('Mapa final'!$AA$15="Media",'Mapa final'!$AC$15="Moderado"),CONCATENATE("R2C",'Mapa final'!$Q$15),"")</f>
        <v/>
      </c>
      <c r="Y27" s="55" t="str">
        <f>IF(AND('Mapa final'!$AA$16="Media",'Mapa final'!$AC$16="Moderado"),CONCATENATE("R2C",'Mapa final'!$Q$16),"")</f>
        <v/>
      </c>
      <c r="Z27" s="55" t="str">
        <f>IF(AND('Mapa final'!$AA$17="Media",'Mapa final'!$AC$17="Moderado"),CONCATENATE("R2C",'Mapa final'!$Q$17),"")</f>
        <v/>
      </c>
      <c r="AA27" s="56" t="str">
        <f>IF(AND('Mapa final'!$AA$18="Media",'Mapa final'!$AC$18="Moderado"),CONCATENATE("R2C",'Mapa final'!$Q$18),"")</f>
        <v/>
      </c>
      <c r="AB27" s="38" t="str">
        <f ca="1">IF(AND('Mapa final'!$AA$13="Media",'Mapa final'!$AC$13="Mayor"),CONCATENATE("R2C",'Mapa final'!$Q$13),"")</f>
        <v/>
      </c>
      <c r="AC27" s="39" t="str">
        <f>IF(AND('Mapa final'!$AA$14="Media",'Mapa final'!$AC$14="Mayor"),CONCATENATE("R2C",'Mapa final'!$Q$14),"")</f>
        <v/>
      </c>
      <c r="AD27" s="39" t="str">
        <f>IF(AND('Mapa final'!$AA$15="Media",'Mapa final'!$AC$15="Mayor"),CONCATENATE("R2C",'Mapa final'!$Q$15),"")</f>
        <v/>
      </c>
      <c r="AE27" s="39" t="str">
        <f>IF(AND('Mapa final'!$AA$16="Media",'Mapa final'!$AC$16="Mayor"),CONCATENATE("R2C",'Mapa final'!$Q$16),"")</f>
        <v/>
      </c>
      <c r="AF27" s="39" t="str">
        <f>IF(AND('Mapa final'!$AA$17="Media",'Mapa final'!$AC$17="Mayor"),CONCATENATE("R2C",'Mapa final'!$Q$17),"")</f>
        <v/>
      </c>
      <c r="AG27" s="40" t="str">
        <f>IF(AND('Mapa final'!$AA$18="Media",'Mapa final'!$AC$18="Mayor"),CONCATENATE("R2C",'Mapa final'!$Q$18),"")</f>
        <v/>
      </c>
      <c r="AH27" s="41" t="str">
        <f ca="1">IF(AND('Mapa final'!$AA$13="Media",'Mapa final'!$AC$13="Catastrófico"),CONCATENATE("R2C",'Mapa final'!$Q$13),"")</f>
        <v/>
      </c>
      <c r="AI27" s="42" t="str">
        <f>IF(AND('Mapa final'!$AA$14="Media",'Mapa final'!$AC$14="Catastrófico"),CONCATENATE("R2C",'Mapa final'!$Q$14),"")</f>
        <v/>
      </c>
      <c r="AJ27" s="42" t="str">
        <f>IF(AND('Mapa final'!$AA$15="Media",'Mapa final'!$AC$15="Catastrófico"),CONCATENATE("R2C",'Mapa final'!$Q$15),"")</f>
        <v/>
      </c>
      <c r="AK27" s="42" t="str">
        <f>IF(AND('Mapa final'!$AA$16="Media",'Mapa final'!$AC$16="Catastrófico"),CONCATENATE("R2C",'Mapa final'!$Q$16),"")</f>
        <v/>
      </c>
      <c r="AL27" s="42" t="str">
        <f>IF(AND('Mapa final'!$AA$17="Media",'Mapa final'!$AC$17="Catastrófico"),CONCATENATE("R2C",'Mapa final'!$Q$17),"")</f>
        <v/>
      </c>
      <c r="AM27" s="43" t="str">
        <f>IF(AND('Mapa final'!$AA$18="Media",'Mapa final'!$AC$18="Catastrófico"),CONCATENATE("R2C",'Mapa final'!$Q$18),"")</f>
        <v/>
      </c>
      <c r="AN27" s="70"/>
      <c r="AO27" s="363"/>
      <c r="AP27" s="364"/>
      <c r="AQ27" s="364"/>
      <c r="AR27" s="364"/>
      <c r="AS27" s="364"/>
      <c r="AT27" s="365"/>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81"/>
      <c r="C28" s="281"/>
      <c r="D28" s="282"/>
      <c r="E28" s="322"/>
      <c r="F28" s="323"/>
      <c r="G28" s="323"/>
      <c r="H28" s="323"/>
      <c r="I28" s="324"/>
      <c r="J28" s="54" t="str">
        <f>IF(AND('Mapa final'!$AA$19="Media",'Mapa final'!$AC$19="Leve"),CONCATENATE("R3C",'Mapa final'!$Q$19),"")</f>
        <v/>
      </c>
      <c r="K28" s="55" t="str">
        <f>IF(AND('Mapa final'!$AA$20="Media",'Mapa final'!$AC$20="Leve"),CONCATENATE("R3C",'Mapa final'!$Q$20),"")</f>
        <v/>
      </c>
      <c r="L28" s="55" t="str">
        <f>IF(AND('Mapa final'!$AA$21="Media",'Mapa final'!$AC$21="Leve"),CONCATENATE("R3C",'Mapa final'!$Q$21),"")</f>
        <v/>
      </c>
      <c r="M28" s="55" t="str">
        <f>IF(AND('Mapa final'!$AA$22="Media",'Mapa final'!$AC$22="Leve"),CONCATENATE("R3C",'Mapa final'!$Q$22),"")</f>
        <v/>
      </c>
      <c r="N28" s="55" t="str">
        <f>IF(AND('Mapa final'!$AA$23="Media",'Mapa final'!$AC$23="Leve"),CONCATENATE("R3C",'Mapa final'!$Q$23),"")</f>
        <v/>
      </c>
      <c r="O28" s="56" t="str">
        <f>IF(AND('Mapa final'!$AA$24="Media",'Mapa final'!$AC$24="Leve"),CONCATENATE("R3C",'Mapa final'!$Q$24),"")</f>
        <v/>
      </c>
      <c r="P28" s="54" t="str">
        <f>IF(AND('Mapa final'!$AA$19="Media",'Mapa final'!$AC$19="Menor"),CONCATENATE("R3C",'Mapa final'!$Q$19),"")</f>
        <v/>
      </c>
      <c r="Q28" s="55" t="str">
        <f>IF(AND('Mapa final'!$AA$20="Media",'Mapa final'!$AC$20="Menor"),CONCATENATE("R3C",'Mapa final'!$Q$20),"")</f>
        <v/>
      </c>
      <c r="R28" s="55" t="str">
        <f>IF(AND('Mapa final'!$AA$21="Media",'Mapa final'!$AC$21="Menor"),CONCATENATE("R3C",'Mapa final'!$Q$21),"")</f>
        <v/>
      </c>
      <c r="S28" s="55" t="str">
        <f>IF(AND('Mapa final'!$AA$22="Media",'Mapa final'!$AC$22="Menor"),CONCATENATE("R3C",'Mapa final'!$Q$22),"")</f>
        <v/>
      </c>
      <c r="T28" s="55" t="str">
        <f>IF(AND('Mapa final'!$AA$23="Media",'Mapa final'!$AC$23="Menor"),CONCATENATE("R3C",'Mapa final'!$Q$23),"")</f>
        <v/>
      </c>
      <c r="U28" s="56" t="str">
        <f>IF(AND('Mapa final'!$AA$24="Media",'Mapa final'!$AC$24="Menor"),CONCATENATE("R3C",'Mapa final'!$Q$24),"")</f>
        <v/>
      </c>
      <c r="V28" s="54" t="str">
        <f>IF(AND('Mapa final'!$AA$19="Media",'Mapa final'!$AC$19="Moderado"),CONCATENATE("R3C",'Mapa final'!$Q$19),"")</f>
        <v/>
      </c>
      <c r="W28" s="55" t="str">
        <f>IF(AND('Mapa final'!$AA$20="Media",'Mapa final'!$AC$20="Moderado"),CONCATENATE("R3C",'Mapa final'!$Q$20),"")</f>
        <v/>
      </c>
      <c r="X28" s="55" t="str">
        <f>IF(AND('Mapa final'!$AA$21="Media",'Mapa final'!$AC$21="Moderado"),CONCATENATE("R3C",'Mapa final'!$Q$21),"")</f>
        <v/>
      </c>
      <c r="Y28" s="55" t="str">
        <f>IF(AND('Mapa final'!$AA$22="Media",'Mapa final'!$AC$22="Moderado"),CONCATENATE("R3C",'Mapa final'!$Q$22),"")</f>
        <v/>
      </c>
      <c r="Z28" s="55" t="str">
        <f>IF(AND('Mapa final'!$AA$23="Media",'Mapa final'!$AC$23="Moderado"),CONCATENATE("R3C",'Mapa final'!$Q$23),"")</f>
        <v/>
      </c>
      <c r="AA28" s="56" t="str">
        <f>IF(AND('Mapa final'!$AA$24="Media",'Mapa final'!$AC$24="Moderado"),CONCATENATE("R3C",'Mapa final'!$Q$24),"")</f>
        <v/>
      </c>
      <c r="AB28" s="38" t="str">
        <f>IF(AND('Mapa final'!$AA$19="Media",'Mapa final'!$AC$19="Mayor"),CONCATENATE("R3C",'Mapa final'!$Q$19),"")</f>
        <v/>
      </c>
      <c r="AC28" s="39" t="str">
        <f>IF(AND('Mapa final'!$AA$20="Media",'Mapa final'!$AC$20="Mayor"),CONCATENATE("R3C",'Mapa final'!$Q$20),"")</f>
        <v/>
      </c>
      <c r="AD28" s="39" t="str">
        <f>IF(AND('Mapa final'!$AA$21="Media",'Mapa final'!$AC$21="Mayor"),CONCATENATE("R3C",'Mapa final'!$Q$21),"")</f>
        <v/>
      </c>
      <c r="AE28" s="39" t="str">
        <f>IF(AND('Mapa final'!$AA$22="Media",'Mapa final'!$AC$22="Mayor"),CONCATENATE("R3C",'Mapa final'!$Q$22),"")</f>
        <v/>
      </c>
      <c r="AF28" s="39" t="str">
        <f>IF(AND('Mapa final'!$AA$23="Media",'Mapa final'!$AC$23="Mayor"),CONCATENATE("R3C",'Mapa final'!$Q$23),"")</f>
        <v/>
      </c>
      <c r="AG28" s="40" t="str">
        <f>IF(AND('Mapa final'!$AA$24="Media",'Mapa final'!$AC$24="Mayor"),CONCATENATE("R3C",'Mapa final'!$Q$24),"")</f>
        <v/>
      </c>
      <c r="AH28" s="41" t="str">
        <f>IF(AND('Mapa final'!$AA$19="Media",'Mapa final'!$AC$19="Catastrófico"),CONCATENATE("R3C",'Mapa final'!$Q$19),"")</f>
        <v/>
      </c>
      <c r="AI28" s="42" t="str">
        <f>IF(AND('Mapa final'!$AA$20="Media",'Mapa final'!$AC$20="Catastrófico"),CONCATENATE("R3C",'Mapa final'!$Q$20),"")</f>
        <v/>
      </c>
      <c r="AJ28" s="42" t="str">
        <f>IF(AND('Mapa final'!$AA$21="Media",'Mapa final'!$AC$21="Catastrófico"),CONCATENATE("R3C",'Mapa final'!$Q$21),"")</f>
        <v/>
      </c>
      <c r="AK28" s="42" t="str">
        <f>IF(AND('Mapa final'!$AA$22="Media",'Mapa final'!$AC$22="Catastrófico"),CONCATENATE("R3C",'Mapa final'!$Q$22),"")</f>
        <v/>
      </c>
      <c r="AL28" s="42" t="str">
        <f>IF(AND('Mapa final'!$AA$23="Media",'Mapa final'!$AC$23="Catastrófico"),CONCATENATE("R3C",'Mapa final'!$Q$23),"")</f>
        <v/>
      </c>
      <c r="AM28" s="43" t="str">
        <f>IF(AND('Mapa final'!$AA$24="Media",'Mapa final'!$AC$24="Catastrófico"),CONCATENATE("R3C",'Mapa final'!$Q$24),"")</f>
        <v/>
      </c>
      <c r="AN28" s="70"/>
      <c r="AO28" s="363"/>
      <c r="AP28" s="364"/>
      <c r="AQ28" s="364"/>
      <c r="AR28" s="364"/>
      <c r="AS28" s="364"/>
      <c r="AT28" s="365"/>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81"/>
      <c r="C29" s="281"/>
      <c r="D29" s="282"/>
      <c r="E29" s="322"/>
      <c r="F29" s="323"/>
      <c r="G29" s="323"/>
      <c r="H29" s="323"/>
      <c r="I29" s="324"/>
      <c r="J29" s="54" t="str">
        <f>IF(AND('Mapa final'!$AA$25="Media",'Mapa final'!$AC$25="Leve"),CONCATENATE("R4C",'Mapa final'!$Q$25),"")</f>
        <v/>
      </c>
      <c r="K29" s="55" t="str">
        <f>IF(AND('Mapa final'!$AA$26="Media",'Mapa final'!$AC$26="Leve"),CONCATENATE("R4C",'Mapa final'!$Q$26),"")</f>
        <v/>
      </c>
      <c r="L29" s="55" t="str">
        <f>IF(AND('Mapa final'!$AA$27="Media",'Mapa final'!$AC$27="Leve"),CONCATENATE("R4C",'Mapa final'!$Q$27),"")</f>
        <v/>
      </c>
      <c r="M29" s="55" t="str">
        <f>IF(AND('Mapa final'!$AA$28="Media",'Mapa final'!$AC$28="Leve"),CONCATENATE("R4C",'Mapa final'!$Q$28),"")</f>
        <v/>
      </c>
      <c r="N29" s="55" t="str">
        <f>IF(AND('Mapa final'!$AA$29="Media",'Mapa final'!$AC$29="Leve"),CONCATENATE("R4C",'Mapa final'!$Q$29),"")</f>
        <v/>
      </c>
      <c r="O29" s="56" t="str">
        <f>IF(AND('Mapa final'!$AA$30="Media",'Mapa final'!$AC$30="Leve"),CONCATENATE("R4C",'Mapa final'!$Q$30),"")</f>
        <v/>
      </c>
      <c r="P29" s="54" t="str">
        <f>IF(AND('Mapa final'!$AA$25="Media",'Mapa final'!$AC$25="Menor"),CONCATENATE("R4C",'Mapa final'!$Q$25),"")</f>
        <v/>
      </c>
      <c r="Q29" s="55" t="str">
        <f>IF(AND('Mapa final'!$AA$26="Media",'Mapa final'!$AC$26="Menor"),CONCATENATE("R4C",'Mapa final'!$Q$26),"")</f>
        <v/>
      </c>
      <c r="R29" s="55" t="str">
        <f>IF(AND('Mapa final'!$AA$27="Media",'Mapa final'!$AC$27="Menor"),CONCATENATE("R4C",'Mapa final'!$Q$27),"")</f>
        <v/>
      </c>
      <c r="S29" s="55" t="str">
        <f>IF(AND('Mapa final'!$AA$28="Media",'Mapa final'!$AC$28="Menor"),CONCATENATE("R4C",'Mapa final'!$Q$28),"")</f>
        <v/>
      </c>
      <c r="T29" s="55" t="str">
        <f>IF(AND('Mapa final'!$AA$29="Media",'Mapa final'!$AC$29="Menor"),CONCATENATE("R4C",'Mapa final'!$Q$29),"")</f>
        <v/>
      </c>
      <c r="U29" s="56" t="str">
        <f>IF(AND('Mapa final'!$AA$30="Media",'Mapa final'!$AC$30="Menor"),CONCATENATE("R4C",'Mapa final'!$Q$30),"")</f>
        <v/>
      </c>
      <c r="V29" s="54" t="str">
        <f>IF(AND('Mapa final'!$AA$25="Media",'Mapa final'!$AC$25="Moderado"),CONCATENATE("R4C",'Mapa final'!$Q$25),"")</f>
        <v/>
      </c>
      <c r="W29" s="55" t="str">
        <f>IF(AND('Mapa final'!$AA$26="Media",'Mapa final'!$AC$26="Moderado"),CONCATENATE("R4C",'Mapa final'!$Q$26),"")</f>
        <v/>
      </c>
      <c r="X29" s="55" t="str">
        <f>IF(AND('Mapa final'!$AA$27="Media",'Mapa final'!$AC$27="Moderado"),CONCATENATE("R4C",'Mapa final'!$Q$27),"")</f>
        <v/>
      </c>
      <c r="Y29" s="55" t="str">
        <f>IF(AND('Mapa final'!$AA$28="Media",'Mapa final'!$AC$28="Moderado"),CONCATENATE("R4C",'Mapa final'!$Q$28),"")</f>
        <v/>
      </c>
      <c r="Z29" s="55" t="str">
        <f>IF(AND('Mapa final'!$AA$29="Media",'Mapa final'!$AC$29="Moderado"),CONCATENATE("R4C",'Mapa final'!$Q$29),"")</f>
        <v/>
      </c>
      <c r="AA29" s="56" t="str">
        <f>IF(AND('Mapa final'!$AA$30="Media",'Mapa final'!$AC$30="Moderado"),CONCATENATE("R4C",'Mapa final'!$Q$30),"")</f>
        <v/>
      </c>
      <c r="AB29" s="38" t="str">
        <f>IF(AND('Mapa final'!$AA$25="Media",'Mapa final'!$AC$25="Mayor"),CONCATENATE("R4C",'Mapa final'!$Q$25),"")</f>
        <v/>
      </c>
      <c r="AC29" s="39" t="str">
        <f>IF(AND('Mapa final'!$AA$26="Media",'Mapa final'!$AC$26="Mayor"),CONCATENATE("R4C",'Mapa final'!$Q$26),"")</f>
        <v/>
      </c>
      <c r="AD29" s="44" t="str">
        <f>IF(AND('Mapa final'!$AA$27="Media",'Mapa final'!$AC$27="Mayor"),CONCATENATE("R4C",'Mapa final'!$Q$27),"")</f>
        <v/>
      </c>
      <c r="AE29" s="44" t="str">
        <f>IF(AND('Mapa final'!$AA$28="Media",'Mapa final'!$AC$28="Mayor"),CONCATENATE("R4C",'Mapa final'!$Q$28),"")</f>
        <v/>
      </c>
      <c r="AF29" s="44" t="str">
        <f>IF(AND('Mapa final'!$AA$29="Media",'Mapa final'!$AC$29="Mayor"),CONCATENATE("R4C",'Mapa final'!$Q$29),"")</f>
        <v/>
      </c>
      <c r="AG29" s="40" t="str">
        <f>IF(AND('Mapa final'!$AA$30="Media",'Mapa final'!$AC$30="Mayor"),CONCATENATE("R4C",'Mapa final'!$Q$30),"")</f>
        <v/>
      </c>
      <c r="AH29" s="41" t="str">
        <f>IF(AND('Mapa final'!$AA$25="Media",'Mapa final'!$AC$25="Catastrófico"),CONCATENATE("R4C",'Mapa final'!$Q$25),"")</f>
        <v/>
      </c>
      <c r="AI29" s="42" t="str">
        <f>IF(AND('Mapa final'!$AA$26="Media",'Mapa final'!$AC$26="Catastrófico"),CONCATENATE("R4C",'Mapa final'!$Q$26),"")</f>
        <v/>
      </c>
      <c r="AJ29" s="42" t="str">
        <f>IF(AND('Mapa final'!$AA$27="Media",'Mapa final'!$AC$27="Catastrófico"),CONCATENATE("R4C",'Mapa final'!$Q$27),"")</f>
        <v/>
      </c>
      <c r="AK29" s="42" t="str">
        <f>IF(AND('Mapa final'!$AA$28="Media",'Mapa final'!$AC$28="Catastrófico"),CONCATENATE("R4C",'Mapa final'!$Q$28),"")</f>
        <v/>
      </c>
      <c r="AL29" s="42" t="str">
        <f>IF(AND('Mapa final'!$AA$29="Media",'Mapa final'!$AC$29="Catastrófico"),CONCATENATE("R4C",'Mapa final'!$Q$29),"")</f>
        <v/>
      </c>
      <c r="AM29" s="43" t="str">
        <f>IF(AND('Mapa final'!$AA$30="Media",'Mapa final'!$AC$30="Catastrófico"),CONCATENATE("R4C",'Mapa final'!$Q$30),"")</f>
        <v/>
      </c>
      <c r="AN29" s="70"/>
      <c r="AO29" s="363"/>
      <c r="AP29" s="364"/>
      <c r="AQ29" s="364"/>
      <c r="AR29" s="364"/>
      <c r="AS29" s="364"/>
      <c r="AT29" s="365"/>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81"/>
      <c r="C30" s="281"/>
      <c r="D30" s="282"/>
      <c r="E30" s="322"/>
      <c r="F30" s="323"/>
      <c r="G30" s="323"/>
      <c r="H30" s="323"/>
      <c r="I30" s="324"/>
      <c r="J30" s="54" t="str">
        <f>IF(AND('Mapa final'!$AA$31="Media",'Mapa final'!$AC$31="Leve"),CONCATENATE("R5C",'Mapa final'!$Q$31),"")</f>
        <v/>
      </c>
      <c r="K30" s="55" t="str">
        <f>IF(AND('Mapa final'!$AA$32="Media",'Mapa final'!$AC$32="Leve"),CONCATENATE("R5C",'Mapa final'!$Q$32),"")</f>
        <v/>
      </c>
      <c r="L30" s="55" t="str">
        <f>IF(AND('Mapa final'!$AA$33="Media",'Mapa final'!$AC$33="Leve"),CONCATENATE("R5C",'Mapa final'!$Q$33),"")</f>
        <v/>
      </c>
      <c r="M30" s="55" t="str">
        <f>IF(AND('Mapa final'!$AA$34="Media",'Mapa final'!$AC$34="Leve"),CONCATENATE("R5C",'Mapa final'!$Q$34),"")</f>
        <v/>
      </c>
      <c r="N30" s="55" t="str">
        <f>IF(AND('Mapa final'!$AA$35="Media",'Mapa final'!$AC$35="Leve"),CONCATENATE("R5C",'Mapa final'!$Q$35),"")</f>
        <v/>
      </c>
      <c r="O30" s="56" t="str">
        <f>IF(AND('Mapa final'!$AA$36="Media",'Mapa final'!$AC$36="Leve"),CONCATENATE("R5C",'Mapa final'!$Q$36),"")</f>
        <v/>
      </c>
      <c r="P30" s="54" t="str">
        <f>IF(AND('Mapa final'!$AA$31="Media",'Mapa final'!$AC$31="Menor"),CONCATENATE("R5C",'Mapa final'!$Q$31),"")</f>
        <v/>
      </c>
      <c r="Q30" s="55" t="str">
        <f>IF(AND('Mapa final'!$AA$32="Media",'Mapa final'!$AC$32="Menor"),CONCATENATE("R5C",'Mapa final'!$Q$32),"")</f>
        <v/>
      </c>
      <c r="R30" s="55" t="str">
        <f>IF(AND('Mapa final'!$AA$33="Media",'Mapa final'!$AC$33="Menor"),CONCATENATE("R5C",'Mapa final'!$Q$33),"")</f>
        <v/>
      </c>
      <c r="S30" s="55" t="str">
        <f>IF(AND('Mapa final'!$AA$34="Media",'Mapa final'!$AC$34="Menor"),CONCATENATE("R5C",'Mapa final'!$Q$34),"")</f>
        <v/>
      </c>
      <c r="T30" s="55" t="str">
        <f>IF(AND('Mapa final'!$AA$35="Media",'Mapa final'!$AC$35="Menor"),CONCATENATE("R5C",'Mapa final'!$Q$35),"")</f>
        <v/>
      </c>
      <c r="U30" s="56" t="str">
        <f>IF(AND('Mapa final'!$AA$36="Media",'Mapa final'!$AC$36="Menor"),CONCATENATE("R5C",'Mapa final'!$Q$36),"")</f>
        <v/>
      </c>
      <c r="V30" s="54" t="str">
        <f>IF(AND('Mapa final'!$AA$31="Media",'Mapa final'!$AC$31="Moderado"),CONCATENATE("R5C",'Mapa final'!$Q$31),"")</f>
        <v/>
      </c>
      <c r="W30" s="55" t="str">
        <f>IF(AND('Mapa final'!$AA$32="Media",'Mapa final'!$AC$32="Moderado"),CONCATENATE("R5C",'Mapa final'!$Q$32),"")</f>
        <v/>
      </c>
      <c r="X30" s="55" t="str">
        <f>IF(AND('Mapa final'!$AA$33="Media",'Mapa final'!$AC$33="Moderado"),CONCATENATE("R5C",'Mapa final'!$Q$33),"")</f>
        <v/>
      </c>
      <c r="Y30" s="55" t="str">
        <f>IF(AND('Mapa final'!$AA$34="Media",'Mapa final'!$AC$34="Moderado"),CONCATENATE("R5C",'Mapa final'!$Q$34),"")</f>
        <v/>
      </c>
      <c r="Z30" s="55" t="str">
        <f>IF(AND('Mapa final'!$AA$35="Media",'Mapa final'!$AC$35="Moderado"),CONCATENATE("R5C",'Mapa final'!$Q$35),"")</f>
        <v/>
      </c>
      <c r="AA30" s="56" t="str">
        <f>IF(AND('Mapa final'!$AA$36="Media",'Mapa final'!$AC$36="Moderado"),CONCATENATE("R5C",'Mapa final'!$Q$36),"")</f>
        <v/>
      </c>
      <c r="AB30" s="38" t="str">
        <f>IF(AND('Mapa final'!$AA$31="Media",'Mapa final'!$AC$31="Mayor"),CONCATENATE("R5C",'Mapa final'!$Q$31),"")</f>
        <v/>
      </c>
      <c r="AC30" s="39" t="str">
        <f>IF(AND('Mapa final'!$AA$32="Media",'Mapa final'!$AC$32="Mayor"),CONCATENATE("R5C",'Mapa final'!$Q$32),"")</f>
        <v/>
      </c>
      <c r="AD30" s="44" t="str">
        <f>IF(AND('Mapa final'!$AA$33="Media",'Mapa final'!$AC$33="Mayor"),CONCATENATE("R5C",'Mapa final'!$Q$33),"")</f>
        <v/>
      </c>
      <c r="AE30" s="44" t="str">
        <f>IF(AND('Mapa final'!$AA$34="Media",'Mapa final'!$AC$34="Mayor"),CONCATENATE("R5C",'Mapa final'!$Q$34),"")</f>
        <v/>
      </c>
      <c r="AF30" s="44" t="str">
        <f>IF(AND('Mapa final'!$AA$35="Media",'Mapa final'!$AC$35="Mayor"),CONCATENATE("R5C",'Mapa final'!$Q$35),"")</f>
        <v/>
      </c>
      <c r="AG30" s="40" t="str">
        <f>IF(AND('Mapa final'!$AA$36="Media",'Mapa final'!$AC$36="Mayor"),CONCATENATE("R5C",'Mapa final'!$Q$36),"")</f>
        <v/>
      </c>
      <c r="AH30" s="41" t="str">
        <f>IF(AND('Mapa final'!$AA$31="Media",'Mapa final'!$AC$31="Catastrófico"),CONCATENATE("R5C",'Mapa final'!$Q$31),"")</f>
        <v/>
      </c>
      <c r="AI30" s="42" t="str">
        <f>IF(AND('Mapa final'!$AA$32="Media",'Mapa final'!$AC$32="Catastrófico"),CONCATENATE("R5C",'Mapa final'!$Q$32),"")</f>
        <v/>
      </c>
      <c r="AJ30" s="42" t="str">
        <f>IF(AND('Mapa final'!$AA$33="Media",'Mapa final'!$AC$33="Catastrófico"),CONCATENATE("R5C",'Mapa final'!$Q$33),"")</f>
        <v/>
      </c>
      <c r="AK30" s="42" t="str">
        <f>IF(AND('Mapa final'!$AA$34="Media",'Mapa final'!$AC$34="Catastrófico"),CONCATENATE("R5C",'Mapa final'!$Q$34),"")</f>
        <v/>
      </c>
      <c r="AL30" s="42" t="str">
        <f>IF(AND('Mapa final'!$AA$35="Media",'Mapa final'!$AC$35="Catastrófico"),CONCATENATE("R5C",'Mapa final'!$Q$35),"")</f>
        <v/>
      </c>
      <c r="AM30" s="43" t="str">
        <f>IF(AND('Mapa final'!$AA$36="Media",'Mapa final'!$AC$36="Catastrófico"),CONCATENATE("R5C",'Mapa final'!$Q$36),"")</f>
        <v/>
      </c>
      <c r="AN30" s="70"/>
      <c r="AO30" s="363"/>
      <c r="AP30" s="364"/>
      <c r="AQ30" s="364"/>
      <c r="AR30" s="364"/>
      <c r="AS30" s="364"/>
      <c r="AT30" s="365"/>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81"/>
      <c r="C31" s="281"/>
      <c r="D31" s="282"/>
      <c r="E31" s="322"/>
      <c r="F31" s="323"/>
      <c r="G31" s="323"/>
      <c r="H31" s="323"/>
      <c r="I31" s="324"/>
      <c r="J31" s="54" t="str">
        <f>IF(AND('Mapa final'!$AA$37="Media",'Mapa final'!$AC$37="Leve"),CONCATENATE("R6C",'Mapa final'!$Q$37),"")</f>
        <v/>
      </c>
      <c r="K31" s="55" t="str">
        <f>IF(AND('Mapa final'!$AA$38="Media",'Mapa final'!$AC$38="Leve"),CONCATENATE("R6C",'Mapa final'!$Q$38),"")</f>
        <v/>
      </c>
      <c r="L31" s="55" t="str">
        <f>IF(AND('Mapa final'!$AA$39="Media",'Mapa final'!$AC$39="Leve"),CONCATENATE("R6C",'Mapa final'!$Q$39),"")</f>
        <v/>
      </c>
      <c r="M31" s="55" t="str">
        <f>IF(AND('Mapa final'!$AA$40="Media",'Mapa final'!$AC$40="Leve"),CONCATENATE("R6C",'Mapa final'!$Q$40),"")</f>
        <v/>
      </c>
      <c r="N31" s="55" t="str">
        <f>IF(AND('Mapa final'!$AA$41="Media",'Mapa final'!$AC$41="Leve"),CONCATENATE("R6C",'Mapa final'!$Q$41),"")</f>
        <v/>
      </c>
      <c r="O31" s="56" t="str">
        <f>IF(AND('Mapa final'!$AA$42="Media",'Mapa final'!$AC$42="Leve"),CONCATENATE("R6C",'Mapa final'!$Q$42),"")</f>
        <v/>
      </c>
      <c r="P31" s="54" t="str">
        <f>IF(AND('Mapa final'!$AA$37="Media",'Mapa final'!$AC$37="Menor"),CONCATENATE("R6C",'Mapa final'!$Q$37),"")</f>
        <v/>
      </c>
      <c r="Q31" s="55" t="str">
        <f>IF(AND('Mapa final'!$AA$38="Media",'Mapa final'!$AC$38="Menor"),CONCATENATE("R6C",'Mapa final'!$Q$38),"")</f>
        <v/>
      </c>
      <c r="R31" s="55" t="str">
        <f>IF(AND('Mapa final'!$AA$39="Media",'Mapa final'!$AC$39="Menor"),CONCATENATE("R6C",'Mapa final'!$Q$39),"")</f>
        <v/>
      </c>
      <c r="S31" s="55" t="str">
        <f>IF(AND('Mapa final'!$AA$40="Media",'Mapa final'!$AC$40="Menor"),CONCATENATE("R6C",'Mapa final'!$Q$40),"")</f>
        <v/>
      </c>
      <c r="T31" s="55" t="str">
        <f>IF(AND('Mapa final'!$AA$41="Media",'Mapa final'!$AC$41="Menor"),CONCATENATE("R6C",'Mapa final'!$Q$41),"")</f>
        <v/>
      </c>
      <c r="U31" s="56" t="str">
        <f>IF(AND('Mapa final'!$AA$42="Media",'Mapa final'!$AC$42="Menor"),CONCATENATE("R6C",'Mapa final'!$Q$42),"")</f>
        <v/>
      </c>
      <c r="V31" s="54" t="str">
        <f>IF(AND('Mapa final'!$AA$37="Media",'Mapa final'!$AC$37="Moderado"),CONCATENATE("R6C",'Mapa final'!$Q$37),"")</f>
        <v/>
      </c>
      <c r="W31" s="55" t="str">
        <f>IF(AND('Mapa final'!$AA$38="Media",'Mapa final'!$AC$38="Moderado"),CONCATENATE("R6C",'Mapa final'!$Q$38),"")</f>
        <v/>
      </c>
      <c r="X31" s="55" t="str">
        <f>IF(AND('Mapa final'!$AA$39="Media",'Mapa final'!$AC$39="Moderado"),CONCATENATE("R6C",'Mapa final'!$Q$39),"")</f>
        <v/>
      </c>
      <c r="Y31" s="55" t="str">
        <f>IF(AND('Mapa final'!$AA$40="Media",'Mapa final'!$AC$40="Moderado"),CONCATENATE("R6C",'Mapa final'!$Q$40),"")</f>
        <v/>
      </c>
      <c r="Z31" s="55" t="str">
        <f>IF(AND('Mapa final'!$AA$41="Media",'Mapa final'!$AC$41="Moderado"),CONCATENATE("R6C",'Mapa final'!$Q$41),"")</f>
        <v/>
      </c>
      <c r="AA31" s="56" t="str">
        <f>IF(AND('Mapa final'!$AA$42="Media",'Mapa final'!$AC$42="Moderado"),CONCATENATE("R6C",'Mapa final'!$Q$42),"")</f>
        <v/>
      </c>
      <c r="AB31" s="38" t="str">
        <f>IF(AND('Mapa final'!$AA$37="Media",'Mapa final'!$AC$37="Mayor"),CONCATENATE("R6C",'Mapa final'!$Q$37),"")</f>
        <v/>
      </c>
      <c r="AC31" s="39" t="str">
        <f>IF(AND('Mapa final'!$AA$38="Media",'Mapa final'!$AC$38="Mayor"),CONCATENATE("R6C",'Mapa final'!$Q$38),"")</f>
        <v/>
      </c>
      <c r="AD31" s="44" t="str">
        <f>IF(AND('Mapa final'!$AA$39="Media",'Mapa final'!$AC$39="Mayor"),CONCATENATE("R6C",'Mapa final'!$Q$39),"")</f>
        <v/>
      </c>
      <c r="AE31" s="44" t="str">
        <f>IF(AND('Mapa final'!$AA$40="Media",'Mapa final'!$AC$40="Mayor"),CONCATENATE("R6C",'Mapa final'!$Q$40),"")</f>
        <v/>
      </c>
      <c r="AF31" s="44" t="str">
        <f>IF(AND('Mapa final'!$AA$41="Media",'Mapa final'!$AC$41="Mayor"),CONCATENATE("R6C",'Mapa final'!$Q$41),"")</f>
        <v/>
      </c>
      <c r="AG31" s="40" t="str">
        <f>IF(AND('Mapa final'!$AA$42="Media",'Mapa final'!$AC$42="Mayor"),CONCATENATE("R6C",'Mapa final'!$Q$42),"")</f>
        <v/>
      </c>
      <c r="AH31" s="41" t="str">
        <f>IF(AND('Mapa final'!$AA$37="Media",'Mapa final'!$AC$37="Catastrófico"),CONCATENATE("R6C",'Mapa final'!$Q$37),"")</f>
        <v/>
      </c>
      <c r="AI31" s="42" t="str">
        <f>IF(AND('Mapa final'!$AA$38="Media",'Mapa final'!$AC$38="Catastrófico"),CONCATENATE("R6C",'Mapa final'!$Q$38),"")</f>
        <v/>
      </c>
      <c r="AJ31" s="42" t="str">
        <f>IF(AND('Mapa final'!$AA$39="Media",'Mapa final'!$AC$39="Catastrófico"),CONCATENATE("R6C",'Mapa final'!$Q$39),"")</f>
        <v/>
      </c>
      <c r="AK31" s="42" t="str">
        <f>IF(AND('Mapa final'!$AA$40="Media",'Mapa final'!$AC$40="Catastrófico"),CONCATENATE("R6C",'Mapa final'!$Q$40),"")</f>
        <v/>
      </c>
      <c r="AL31" s="42" t="str">
        <f>IF(AND('Mapa final'!$AA$41="Media",'Mapa final'!$AC$41="Catastrófico"),CONCATENATE("R6C",'Mapa final'!$Q$41),"")</f>
        <v/>
      </c>
      <c r="AM31" s="43" t="str">
        <f>IF(AND('Mapa final'!$AA$42="Media",'Mapa final'!$AC$42="Catastrófico"),CONCATENATE("R6C",'Mapa final'!$Q$42),"")</f>
        <v/>
      </c>
      <c r="AN31" s="70"/>
      <c r="AO31" s="363"/>
      <c r="AP31" s="364"/>
      <c r="AQ31" s="364"/>
      <c r="AR31" s="364"/>
      <c r="AS31" s="364"/>
      <c r="AT31" s="365"/>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81"/>
      <c r="C32" s="281"/>
      <c r="D32" s="282"/>
      <c r="E32" s="322"/>
      <c r="F32" s="323"/>
      <c r="G32" s="323"/>
      <c r="H32" s="323"/>
      <c r="I32" s="324"/>
      <c r="J32" s="54" t="str">
        <f>IF(AND('Mapa final'!$AA$43="Media",'Mapa final'!$AC$43="Leve"),CONCATENATE("R7C",'Mapa final'!$Q$43),"")</f>
        <v/>
      </c>
      <c r="K32" s="55" t="str">
        <f>IF(AND('Mapa final'!$AA$44="Media",'Mapa final'!$AC$44="Leve"),CONCATENATE("R7C",'Mapa final'!$Q$44),"")</f>
        <v/>
      </c>
      <c r="L32" s="55" t="str">
        <f>IF(AND('Mapa final'!$AA$45="Media",'Mapa final'!$AC$45="Leve"),CONCATENATE("R7C",'Mapa final'!$Q$45),"")</f>
        <v/>
      </c>
      <c r="M32" s="55" t="str">
        <f>IF(AND('Mapa final'!$AA$46="Media",'Mapa final'!$AC$46="Leve"),CONCATENATE("R7C",'Mapa final'!$Q$46),"")</f>
        <v/>
      </c>
      <c r="N32" s="55" t="str">
        <f>IF(AND('Mapa final'!$AA$47="Media",'Mapa final'!$AC$47="Leve"),CONCATENATE("R7C",'Mapa final'!$Q$47),"")</f>
        <v/>
      </c>
      <c r="O32" s="56" t="str">
        <f>IF(AND('Mapa final'!$AA$48="Media",'Mapa final'!$AC$48="Leve"),CONCATENATE("R7C",'Mapa final'!$Q$48),"")</f>
        <v/>
      </c>
      <c r="P32" s="54" t="str">
        <f>IF(AND('Mapa final'!$AA$43="Media",'Mapa final'!$AC$43="Menor"),CONCATENATE("R7C",'Mapa final'!$Q$43),"")</f>
        <v/>
      </c>
      <c r="Q32" s="55" t="str">
        <f>IF(AND('Mapa final'!$AA$44="Media",'Mapa final'!$AC$44="Menor"),CONCATENATE("R7C",'Mapa final'!$Q$44),"")</f>
        <v/>
      </c>
      <c r="R32" s="55" t="str">
        <f>IF(AND('Mapa final'!$AA$45="Media",'Mapa final'!$AC$45="Menor"),CONCATENATE("R7C",'Mapa final'!$Q$45),"")</f>
        <v/>
      </c>
      <c r="S32" s="55" t="str">
        <f>IF(AND('Mapa final'!$AA$46="Media",'Mapa final'!$AC$46="Menor"),CONCATENATE("R7C",'Mapa final'!$Q$46),"")</f>
        <v/>
      </c>
      <c r="T32" s="55" t="str">
        <f>IF(AND('Mapa final'!$AA$47="Media",'Mapa final'!$AC$47="Menor"),CONCATENATE("R7C",'Mapa final'!$Q$47),"")</f>
        <v/>
      </c>
      <c r="U32" s="56" t="str">
        <f>IF(AND('Mapa final'!$AA$48="Media",'Mapa final'!$AC$48="Menor"),CONCATENATE("R7C",'Mapa final'!$Q$48),"")</f>
        <v/>
      </c>
      <c r="V32" s="54" t="str">
        <f>IF(AND('Mapa final'!$AA$43="Media",'Mapa final'!$AC$43="Moderado"),CONCATENATE("R7C",'Mapa final'!$Q$43),"")</f>
        <v/>
      </c>
      <c r="W32" s="55" t="str">
        <f>IF(AND('Mapa final'!$AA$44="Media",'Mapa final'!$AC$44="Moderado"),CONCATENATE("R7C",'Mapa final'!$Q$44),"")</f>
        <v/>
      </c>
      <c r="X32" s="55" t="str">
        <f>IF(AND('Mapa final'!$AA$45="Media",'Mapa final'!$AC$45="Moderado"),CONCATENATE("R7C",'Mapa final'!$Q$45),"")</f>
        <v/>
      </c>
      <c r="Y32" s="55" t="str">
        <f>IF(AND('Mapa final'!$AA$46="Media",'Mapa final'!$AC$46="Moderado"),CONCATENATE("R7C",'Mapa final'!$Q$46),"")</f>
        <v/>
      </c>
      <c r="Z32" s="55" t="str">
        <f>IF(AND('Mapa final'!$AA$47="Media",'Mapa final'!$AC$47="Moderado"),CONCATENATE("R7C",'Mapa final'!$Q$47),"")</f>
        <v/>
      </c>
      <c r="AA32" s="56" t="str">
        <f>IF(AND('Mapa final'!$AA$48="Media",'Mapa final'!$AC$48="Moderado"),CONCATENATE("R7C",'Mapa final'!$Q$48),"")</f>
        <v/>
      </c>
      <c r="AB32" s="38" t="str">
        <f>IF(AND('Mapa final'!$AA$43="Media",'Mapa final'!$AC$43="Mayor"),CONCATENATE("R7C",'Mapa final'!$Q$43),"")</f>
        <v/>
      </c>
      <c r="AC32" s="39" t="str">
        <f>IF(AND('Mapa final'!$AA$44="Media",'Mapa final'!$AC$44="Mayor"),CONCATENATE("R7C",'Mapa final'!$Q$44),"")</f>
        <v/>
      </c>
      <c r="AD32" s="44" t="str">
        <f>IF(AND('Mapa final'!$AA$45="Media",'Mapa final'!$AC$45="Mayor"),CONCATENATE("R7C",'Mapa final'!$Q$45),"")</f>
        <v/>
      </c>
      <c r="AE32" s="44" t="str">
        <f>IF(AND('Mapa final'!$AA$46="Media",'Mapa final'!$AC$46="Mayor"),CONCATENATE("R7C",'Mapa final'!$Q$46),"")</f>
        <v/>
      </c>
      <c r="AF32" s="44" t="str">
        <f>IF(AND('Mapa final'!$AA$47="Media",'Mapa final'!$AC$47="Mayor"),CONCATENATE("R7C",'Mapa final'!$Q$47),"")</f>
        <v/>
      </c>
      <c r="AG32" s="40" t="str">
        <f>IF(AND('Mapa final'!$AA$48="Media",'Mapa final'!$AC$48="Mayor"),CONCATENATE("R7C",'Mapa final'!$Q$48),"")</f>
        <v/>
      </c>
      <c r="AH32" s="41" t="str">
        <f>IF(AND('Mapa final'!$AA$43="Media",'Mapa final'!$AC$43="Catastrófico"),CONCATENATE("R7C",'Mapa final'!$Q$43),"")</f>
        <v/>
      </c>
      <c r="AI32" s="42" t="str">
        <f>IF(AND('Mapa final'!$AA$44="Media",'Mapa final'!$AC$44="Catastrófico"),CONCATENATE("R7C",'Mapa final'!$Q$44),"")</f>
        <v/>
      </c>
      <c r="AJ32" s="42" t="str">
        <f>IF(AND('Mapa final'!$AA$45="Media",'Mapa final'!$AC$45="Catastrófico"),CONCATENATE("R7C",'Mapa final'!$Q$45),"")</f>
        <v/>
      </c>
      <c r="AK32" s="42" t="str">
        <f>IF(AND('Mapa final'!$AA$46="Media",'Mapa final'!$AC$46="Catastrófico"),CONCATENATE("R7C",'Mapa final'!$Q$46),"")</f>
        <v/>
      </c>
      <c r="AL32" s="42" t="str">
        <f>IF(AND('Mapa final'!$AA$47="Media",'Mapa final'!$AC$47="Catastrófico"),CONCATENATE("R7C",'Mapa final'!$Q$47),"")</f>
        <v/>
      </c>
      <c r="AM32" s="43" t="str">
        <f>IF(AND('Mapa final'!$AA$48="Media",'Mapa final'!$AC$48="Catastrófico"),CONCATENATE("R7C",'Mapa final'!$Q$48),"")</f>
        <v/>
      </c>
      <c r="AN32" s="70"/>
      <c r="AO32" s="363"/>
      <c r="AP32" s="364"/>
      <c r="AQ32" s="364"/>
      <c r="AR32" s="364"/>
      <c r="AS32" s="364"/>
      <c r="AT32" s="365"/>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81"/>
      <c r="C33" s="281"/>
      <c r="D33" s="282"/>
      <c r="E33" s="322"/>
      <c r="F33" s="323"/>
      <c r="G33" s="323"/>
      <c r="H33" s="323"/>
      <c r="I33" s="324"/>
      <c r="J33" s="54" t="str">
        <f>IF(AND('Mapa final'!$AA$49="Media",'Mapa final'!$AC$49="Leve"),CONCATENATE("R8C",'Mapa final'!$Q$49),"")</f>
        <v/>
      </c>
      <c r="K33" s="55" t="str">
        <f>IF(AND('Mapa final'!$AA$50="Media",'Mapa final'!$AC$50="Leve"),CONCATENATE("R8C",'Mapa final'!$Q$50),"")</f>
        <v/>
      </c>
      <c r="L33" s="55" t="str">
        <f>IF(AND('Mapa final'!$AA$51="Media",'Mapa final'!$AC$51="Leve"),CONCATENATE("R8C",'Mapa final'!$Q$51),"")</f>
        <v/>
      </c>
      <c r="M33" s="55" t="str">
        <f>IF(AND('Mapa final'!$AA$52="Media",'Mapa final'!$AC$52="Leve"),CONCATENATE("R8C",'Mapa final'!$Q$52),"")</f>
        <v/>
      </c>
      <c r="N33" s="55" t="str">
        <f>IF(AND('Mapa final'!$AA$53="Media",'Mapa final'!$AC$53="Leve"),CONCATENATE("R8C",'Mapa final'!$Q$53),"")</f>
        <v/>
      </c>
      <c r="O33" s="56" t="str">
        <f>IF(AND('Mapa final'!$AA$54="Media",'Mapa final'!$AC$54="Leve"),CONCATENATE("R8C",'Mapa final'!$Q$54),"")</f>
        <v/>
      </c>
      <c r="P33" s="54" t="str">
        <f>IF(AND('Mapa final'!$AA$49="Media",'Mapa final'!$AC$49="Menor"),CONCATENATE("R8C",'Mapa final'!$Q$49),"")</f>
        <v/>
      </c>
      <c r="Q33" s="55" t="str">
        <f>IF(AND('Mapa final'!$AA$50="Media",'Mapa final'!$AC$50="Menor"),CONCATENATE("R8C",'Mapa final'!$Q$50),"")</f>
        <v/>
      </c>
      <c r="R33" s="55" t="str">
        <f>IF(AND('Mapa final'!$AA$51="Media",'Mapa final'!$AC$51="Menor"),CONCATENATE("R8C",'Mapa final'!$Q$51),"")</f>
        <v/>
      </c>
      <c r="S33" s="55" t="str">
        <f>IF(AND('Mapa final'!$AA$52="Media",'Mapa final'!$AC$52="Menor"),CONCATENATE("R8C",'Mapa final'!$Q$52),"")</f>
        <v/>
      </c>
      <c r="T33" s="55" t="str">
        <f>IF(AND('Mapa final'!$AA$53="Media",'Mapa final'!$AC$53="Menor"),CONCATENATE("R8C",'Mapa final'!$Q$53),"")</f>
        <v/>
      </c>
      <c r="U33" s="56" t="str">
        <f>IF(AND('Mapa final'!$AA$54="Media",'Mapa final'!$AC$54="Menor"),CONCATENATE("R8C",'Mapa final'!$Q$54),"")</f>
        <v/>
      </c>
      <c r="V33" s="54" t="str">
        <f>IF(AND('Mapa final'!$AA$49="Media",'Mapa final'!$AC$49="Moderado"),CONCATENATE("R8C",'Mapa final'!$Q$49),"")</f>
        <v/>
      </c>
      <c r="W33" s="55" t="str">
        <f>IF(AND('Mapa final'!$AA$50="Media",'Mapa final'!$AC$50="Moderado"),CONCATENATE("R8C",'Mapa final'!$Q$50),"")</f>
        <v/>
      </c>
      <c r="X33" s="55" t="str">
        <f>IF(AND('Mapa final'!$AA$51="Media",'Mapa final'!$AC$51="Moderado"),CONCATENATE("R8C",'Mapa final'!$Q$51),"")</f>
        <v/>
      </c>
      <c r="Y33" s="55" t="str">
        <f>IF(AND('Mapa final'!$AA$52="Media",'Mapa final'!$AC$52="Moderado"),CONCATENATE("R8C",'Mapa final'!$Q$52),"")</f>
        <v/>
      </c>
      <c r="Z33" s="55" t="str">
        <f>IF(AND('Mapa final'!$AA$53="Media",'Mapa final'!$AC$53="Moderado"),CONCATENATE("R8C",'Mapa final'!$Q$53),"")</f>
        <v/>
      </c>
      <c r="AA33" s="56" t="str">
        <f>IF(AND('Mapa final'!$AA$54="Media",'Mapa final'!$AC$54="Moderado"),CONCATENATE("R8C",'Mapa final'!$Q$54),"")</f>
        <v/>
      </c>
      <c r="AB33" s="38" t="str">
        <f>IF(AND('Mapa final'!$AA$49="Media",'Mapa final'!$AC$49="Mayor"),CONCATENATE("R8C",'Mapa final'!$Q$49),"")</f>
        <v/>
      </c>
      <c r="AC33" s="39" t="str">
        <f>IF(AND('Mapa final'!$AA$50="Media",'Mapa final'!$AC$50="Mayor"),CONCATENATE("R8C",'Mapa final'!$Q$50),"")</f>
        <v/>
      </c>
      <c r="AD33" s="44" t="str">
        <f>IF(AND('Mapa final'!$AA$51="Media",'Mapa final'!$AC$51="Mayor"),CONCATENATE("R8C",'Mapa final'!$Q$51),"")</f>
        <v/>
      </c>
      <c r="AE33" s="44" t="str">
        <f>IF(AND('Mapa final'!$AA$52="Media",'Mapa final'!$AC$52="Mayor"),CONCATENATE("R8C",'Mapa final'!$Q$52),"")</f>
        <v/>
      </c>
      <c r="AF33" s="44" t="str">
        <f>IF(AND('Mapa final'!$AA$53="Media",'Mapa final'!$AC$53="Mayor"),CONCATENATE("R8C",'Mapa final'!$Q$53),"")</f>
        <v/>
      </c>
      <c r="AG33" s="40" t="str">
        <f>IF(AND('Mapa final'!$AA$54="Media",'Mapa final'!$AC$54="Mayor"),CONCATENATE("R8C",'Mapa final'!$Q$54),"")</f>
        <v/>
      </c>
      <c r="AH33" s="41" t="str">
        <f>IF(AND('Mapa final'!$AA$49="Media",'Mapa final'!$AC$49="Catastrófico"),CONCATENATE("R8C",'Mapa final'!$Q$49),"")</f>
        <v/>
      </c>
      <c r="AI33" s="42" t="str">
        <f>IF(AND('Mapa final'!$AA$50="Media",'Mapa final'!$AC$50="Catastrófico"),CONCATENATE("R8C",'Mapa final'!$Q$50),"")</f>
        <v/>
      </c>
      <c r="AJ33" s="42" t="str">
        <f>IF(AND('Mapa final'!$AA$51="Media",'Mapa final'!$AC$51="Catastrófico"),CONCATENATE("R8C",'Mapa final'!$Q$51),"")</f>
        <v/>
      </c>
      <c r="AK33" s="42" t="str">
        <f>IF(AND('Mapa final'!$AA$52="Media",'Mapa final'!$AC$52="Catastrófico"),CONCATENATE("R8C",'Mapa final'!$Q$52),"")</f>
        <v/>
      </c>
      <c r="AL33" s="42" t="str">
        <f>IF(AND('Mapa final'!$AA$53="Media",'Mapa final'!$AC$53="Catastrófico"),CONCATENATE("R8C",'Mapa final'!$Q$53),"")</f>
        <v/>
      </c>
      <c r="AM33" s="43" t="str">
        <f>IF(AND('Mapa final'!$AA$54="Media",'Mapa final'!$AC$54="Catastrófico"),CONCATENATE("R8C",'Mapa final'!$Q$54),"")</f>
        <v/>
      </c>
      <c r="AN33" s="70"/>
      <c r="AO33" s="363"/>
      <c r="AP33" s="364"/>
      <c r="AQ33" s="364"/>
      <c r="AR33" s="364"/>
      <c r="AS33" s="364"/>
      <c r="AT33" s="365"/>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81"/>
      <c r="C34" s="281"/>
      <c r="D34" s="282"/>
      <c r="E34" s="322"/>
      <c r="F34" s="323"/>
      <c r="G34" s="323"/>
      <c r="H34" s="323"/>
      <c r="I34" s="324"/>
      <c r="J34" s="54" t="str">
        <f>IF(AND('Mapa final'!$AA$55="Media",'Mapa final'!$AC$55="Leve"),CONCATENATE("R9C",'Mapa final'!$Q$55),"")</f>
        <v/>
      </c>
      <c r="K34" s="55" t="str">
        <f>IF(AND('Mapa final'!$AA$56="Media",'Mapa final'!$AC$56="Leve"),CONCATENATE("R9C",'Mapa final'!$Q$56),"")</f>
        <v/>
      </c>
      <c r="L34" s="55" t="str">
        <f>IF(AND('Mapa final'!$AA$57="Media",'Mapa final'!$AC$57="Leve"),CONCATENATE("R9C",'Mapa final'!$Q$57),"")</f>
        <v/>
      </c>
      <c r="M34" s="55" t="str">
        <f>IF(AND('Mapa final'!$AA$58="Media",'Mapa final'!$AC$58="Leve"),CONCATENATE("R9C",'Mapa final'!$Q$58),"")</f>
        <v/>
      </c>
      <c r="N34" s="55" t="str">
        <f>IF(AND('Mapa final'!$AA$59="Media",'Mapa final'!$AC$59="Leve"),CONCATENATE("R9C",'Mapa final'!$Q$59),"")</f>
        <v/>
      </c>
      <c r="O34" s="56" t="str">
        <f>IF(AND('Mapa final'!$AA$60="Media",'Mapa final'!$AC$60="Leve"),CONCATENATE("R9C",'Mapa final'!$Q$60),"")</f>
        <v/>
      </c>
      <c r="P34" s="54" t="str">
        <f>IF(AND('Mapa final'!$AA$55="Media",'Mapa final'!$AC$55="Menor"),CONCATENATE("R9C",'Mapa final'!$Q$55),"")</f>
        <v/>
      </c>
      <c r="Q34" s="55" t="str">
        <f>IF(AND('Mapa final'!$AA$56="Media",'Mapa final'!$AC$56="Menor"),CONCATENATE("R9C",'Mapa final'!$Q$56),"")</f>
        <v/>
      </c>
      <c r="R34" s="55" t="str">
        <f>IF(AND('Mapa final'!$AA$57="Media",'Mapa final'!$AC$57="Menor"),CONCATENATE("R9C",'Mapa final'!$Q$57),"")</f>
        <v/>
      </c>
      <c r="S34" s="55" t="str">
        <f>IF(AND('Mapa final'!$AA$58="Media",'Mapa final'!$AC$58="Menor"),CONCATENATE("R9C",'Mapa final'!$Q$58),"")</f>
        <v/>
      </c>
      <c r="T34" s="55" t="str">
        <f>IF(AND('Mapa final'!$AA$59="Media",'Mapa final'!$AC$59="Menor"),CONCATENATE("R9C",'Mapa final'!$Q$59),"")</f>
        <v/>
      </c>
      <c r="U34" s="56" t="str">
        <f>IF(AND('Mapa final'!$AA$60="Media",'Mapa final'!$AC$60="Menor"),CONCATENATE("R9C",'Mapa final'!$Q$60),"")</f>
        <v/>
      </c>
      <c r="V34" s="54" t="str">
        <f>IF(AND('Mapa final'!$AA$55="Media",'Mapa final'!$AC$55="Moderado"),CONCATENATE("R9C",'Mapa final'!$Q$55),"")</f>
        <v/>
      </c>
      <c r="W34" s="55" t="str">
        <f>IF(AND('Mapa final'!$AA$56="Media",'Mapa final'!$AC$56="Moderado"),CONCATENATE("R9C",'Mapa final'!$Q$56),"")</f>
        <v/>
      </c>
      <c r="X34" s="55" t="str">
        <f>IF(AND('Mapa final'!$AA$57="Media",'Mapa final'!$AC$57="Moderado"),CONCATENATE("R9C",'Mapa final'!$Q$57),"")</f>
        <v/>
      </c>
      <c r="Y34" s="55" t="str">
        <f>IF(AND('Mapa final'!$AA$58="Media",'Mapa final'!$AC$58="Moderado"),CONCATENATE("R9C",'Mapa final'!$Q$58),"")</f>
        <v/>
      </c>
      <c r="Z34" s="55" t="str">
        <f>IF(AND('Mapa final'!$AA$59="Media",'Mapa final'!$AC$59="Moderado"),CONCATENATE("R9C",'Mapa final'!$Q$59),"")</f>
        <v/>
      </c>
      <c r="AA34" s="56" t="str">
        <f>IF(AND('Mapa final'!$AA$60="Media",'Mapa final'!$AC$60="Moderado"),CONCATENATE("R9C",'Mapa final'!$Q$60),"")</f>
        <v/>
      </c>
      <c r="AB34" s="38" t="str">
        <f>IF(AND('Mapa final'!$AA$55="Media",'Mapa final'!$AC$55="Mayor"),CONCATENATE("R9C",'Mapa final'!$Q$55),"")</f>
        <v/>
      </c>
      <c r="AC34" s="39" t="str">
        <f>IF(AND('Mapa final'!$AA$56="Media",'Mapa final'!$AC$56="Mayor"),CONCATENATE("R9C",'Mapa final'!$Q$56),"")</f>
        <v/>
      </c>
      <c r="AD34" s="44" t="str">
        <f>IF(AND('Mapa final'!$AA$57="Media",'Mapa final'!$AC$57="Mayor"),CONCATENATE("R9C",'Mapa final'!$Q$57),"")</f>
        <v/>
      </c>
      <c r="AE34" s="44" t="str">
        <f>IF(AND('Mapa final'!$AA$58="Media",'Mapa final'!$AC$58="Mayor"),CONCATENATE("R9C",'Mapa final'!$Q$58),"")</f>
        <v/>
      </c>
      <c r="AF34" s="44" t="str">
        <f>IF(AND('Mapa final'!$AA$59="Media",'Mapa final'!$AC$59="Mayor"),CONCATENATE("R9C",'Mapa final'!$Q$59),"")</f>
        <v/>
      </c>
      <c r="AG34" s="40" t="str">
        <f>IF(AND('Mapa final'!$AA$60="Media",'Mapa final'!$AC$60="Mayor"),CONCATENATE("R9C",'Mapa final'!$Q$60),"")</f>
        <v/>
      </c>
      <c r="AH34" s="41" t="str">
        <f>IF(AND('Mapa final'!$AA$55="Media",'Mapa final'!$AC$55="Catastrófico"),CONCATENATE("R9C",'Mapa final'!$Q$55),"")</f>
        <v/>
      </c>
      <c r="AI34" s="42" t="str">
        <f>IF(AND('Mapa final'!$AA$56="Media",'Mapa final'!$AC$56="Catastrófico"),CONCATENATE("R9C",'Mapa final'!$Q$56),"")</f>
        <v/>
      </c>
      <c r="AJ34" s="42" t="str">
        <f>IF(AND('Mapa final'!$AA$57="Media",'Mapa final'!$AC$57="Catastrófico"),CONCATENATE("R9C",'Mapa final'!$Q$57),"")</f>
        <v/>
      </c>
      <c r="AK34" s="42" t="str">
        <f>IF(AND('Mapa final'!$AA$58="Media",'Mapa final'!$AC$58="Catastrófico"),CONCATENATE("R9C",'Mapa final'!$Q$58),"")</f>
        <v/>
      </c>
      <c r="AL34" s="42" t="str">
        <f>IF(AND('Mapa final'!$AA$59="Media",'Mapa final'!$AC$59="Catastrófico"),CONCATENATE("R9C",'Mapa final'!$Q$59),"")</f>
        <v/>
      </c>
      <c r="AM34" s="43" t="str">
        <f>IF(AND('Mapa final'!$AA$60="Media",'Mapa final'!$AC$60="Catastrófico"),CONCATENATE("R9C",'Mapa final'!$Q$60),"")</f>
        <v/>
      </c>
      <c r="AN34" s="70"/>
      <c r="AO34" s="363"/>
      <c r="AP34" s="364"/>
      <c r="AQ34" s="364"/>
      <c r="AR34" s="364"/>
      <c r="AS34" s="364"/>
      <c r="AT34" s="365"/>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81"/>
      <c r="C35" s="281"/>
      <c r="D35" s="282"/>
      <c r="E35" s="325"/>
      <c r="F35" s="326"/>
      <c r="G35" s="326"/>
      <c r="H35" s="326"/>
      <c r="I35" s="327"/>
      <c r="J35" s="54" t="str">
        <f>IF(AND('Mapa final'!$AA$61="Media",'Mapa final'!$AC$61="Leve"),CONCATENATE("R10C",'Mapa final'!$Q$61),"")</f>
        <v/>
      </c>
      <c r="K35" s="55" t="str">
        <f>IF(AND('Mapa final'!$AA$62="Media",'Mapa final'!$AC$62="Leve"),CONCATENATE("R10C",'Mapa final'!$Q$62),"")</f>
        <v/>
      </c>
      <c r="L35" s="55" t="str">
        <f>IF(AND('Mapa final'!$AA$63="Media",'Mapa final'!$AC$63="Leve"),CONCATENATE("R10C",'Mapa final'!$Q$63),"")</f>
        <v/>
      </c>
      <c r="M35" s="55" t="str">
        <f>IF(AND('Mapa final'!$AA$64="Media",'Mapa final'!$AC$64="Leve"),CONCATENATE("R10C",'Mapa final'!$Q$64),"")</f>
        <v/>
      </c>
      <c r="N35" s="55" t="str">
        <f>IF(AND('Mapa final'!$AA$65="Media",'Mapa final'!$AC$65="Leve"),CONCATENATE("R10C",'Mapa final'!$Q$65),"")</f>
        <v/>
      </c>
      <c r="O35" s="56" t="str">
        <f>IF(AND('Mapa final'!$AA$66="Media",'Mapa final'!$AC$66="Leve"),CONCATENATE("R10C",'Mapa final'!$Q$66),"")</f>
        <v/>
      </c>
      <c r="P35" s="54" t="str">
        <f>IF(AND('Mapa final'!$AA$61="Media",'Mapa final'!$AC$61="Menor"),CONCATENATE("R10C",'Mapa final'!$Q$61),"")</f>
        <v/>
      </c>
      <c r="Q35" s="55" t="str">
        <f>IF(AND('Mapa final'!$AA$62="Media",'Mapa final'!$AC$62="Menor"),CONCATENATE("R10C",'Mapa final'!$Q$62),"")</f>
        <v/>
      </c>
      <c r="R35" s="55" t="str">
        <f>IF(AND('Mapa final'!$AA$63="Media",'Mapa final'!$AC$63="Menor"),CONCATENATE("R10C",'Mapa final'!$Q$63),"")</f>
        <v/>
      </c>
      <c r="S35" s="55" t="str">
        <f>IF(AND('Mapa final'!$AA$64="Media",'Mapa final'!$AC$64="Menor"),CONCATENATE("R10C",'Mapa final'!$Q$64),"")</f>
        <v/>
      </c>
      <c r="T35" s="55" t="str">
        <f>IF(AND('Mapa final'!$AA$65="Media",'Mapa final'!$AC$65="Menor"),CONCATENATE("R10C",'Mapa final'!$Q$65),"")</f>
        <v/>
      </c>
      <c r="U35" s="56" t="str">
        <f>IF(AND('Mapa final'!$AA$66="Media",'Mapa final'!$AC$66="Menor"),CONCATENATE("R10C",'Mapa final'!$Q$66),"")</f>
        <v/>
      </c>
      <c r="V35" s="54" t="str">
        <f>IF(AND('Mapa final'!$AA$61="Media",'Mapa final'!$AC$61="Moderado"),CONCATENATE("R10C",'Mapa final'!$Q$61),"")</f>
        <v/>
      </c>
      <c r="W35" s="55" t="str">
        <f>IF(AND('Mapa final'!$AA$62="Media",'Mapa final'!$AC$62="Moderado"),CONCATENATE("R10C",'Mapa final'!$Q$62),"")</f>
        <v/>
      </c>
      <c r="X35" s="55" t="str">
        <f>IF(AND('Mapa final'!$AA$63="Media",'Mapa final'!$AC$63="Moderado"),CONCATENATE("R10C",'Mapa final'!$Q$63),"")</f>
        <v/>
      </c>
      <c r="Y35" s="55" t="str">
        <f>IF(AND('Mapa final'!$AA$64="Media",'Mapa final'!$AC$64="Moderado"),CONCATENATE("R10C",'Mapa final'!$Q$64),"")</f>
        <v/>
      </c>
      <c r="Z35" s="55" t="str">
        <f>IF(AND('Mapa final'!$AA$65="Media",'Mapa final'!$AC$65="Moderado"),CONCATENATE("R10C",'Mapa final'!$Q$65),"")</f>
        <v/>
      </c>
      <c r="AA35" s="56" t="str">
        <f>IF(AND('Mapa final'!$AA$66="Media",'Mapa final'!$AC$66="Moderado"),CONCATENATE("R10C",'Mapa final'!$Q$66),"")</f>
        <v/>
      </c>
      <c r="AB35" s="45" t="str">
        <f>IF(AND('Mapa final'!$AA$61="Media",'Mapa final'!$AC$61="Mayor"),CONCATENATE("R10C",'Mapa final'!$Q$61),"")</f>
        <v/>
      </c>
      <c r="AC35" s="46" t="str">
        <f>IF(AND('Mapa final'!$AA$62="Media",'Mapa final'!$AC$62="Mayor"),CONCATENATE("R10C",'Mapa final'!$Q$62),"")</f>
        <v/>
      </c>
      <c r="AD35" s="46" t="str">
        <f>IF(AND('Mapa final'!$AA$63="Media",'Mapa final'!$AC$63="Mayor"),CONCATENATE("R10C",'Mapa final'!$Q$63),"")</f>
        <v/>
      </c>
      <c r="AE35" s="46" t="str">
        <f>IF(AND('Mapa final'!$AA$64="Media",'Mapa final'!$AC$64="Mayor"),CONCATENATE("R10C",'Mapa final'!$Q$64),"")</f>
        <v/>
      </c>
      <c r="AF35" s="46" t="str">
        <f>IF(AND('Mapa final'!$AA$65="Media",'Mapa final'!$AC$65="Mayor"),CONCATENATE("R10C",'Mapa final'!$Q$65),"")</f>
        <v/>
      </c>
      <c r="AG35" s="47" t="str">
        <f>IF(AND('Mapa final'!$AA$66="Media",'Mapa final'!$AC$66="Mayor"),CONCATENATE("R10C",'Mapa final'!$Q$66),"")</f>
        <v/>
      </c>
      <c r="AH35" s="48" t="str">
        <f>IF(AND('Mapa final'!$AA$61="Media",'Mapa final'!$AC$61="Catastrófico"),CONCATENATE("R10C",'Mapa final'!$Q$61),"")</f>
        <v/>
      </c>
      <c r="AI35" s="49" t="str">
        <f>IF(AND('Mapa final'!$AA$62="Media",'Mapa final'!$AC$62="Catastrófico"),CONCATENATE("R10C",'Mapa final'!$Q$62),"")</f>
        <v/>
      </c>
      <c r="AJ35" s="49" t="str">
        <f>IF(AND('Mapa final'!$AA$63="Media",'Mapa final'!$AC$63="Catastrófico"),CONCATENATE("R10C",'Mapa final'!$Q$63),"")</f>
        <v/>
      </c>
      <c r="AK35" s="49" t="str">
        <f>IF(AND('Mapa final'!$AA$64="Media",'Mapa final'!$AC$64="Catastrófico"),CONCATENATE("R10C",'Mapa final'!$Q$64),"")</f>
        <v/>
      </c>
      <c r="AL35" s="49" t="str">
        <f>IF(AND('Mapa final'!$AA$65="Media",'Mapa final'!$AC$65="Catastrófico"),CONCATENATE("R10C",'Mapa final'!$Q$65),"")</f>
        <v/>
      </c>
      <c r="AM35" s="50" t="str">
        <f>IF(AND('Mapa final'!$AA$66="Media",'Mapa final'!$AC$66="Catastrófico"),CONCATENATE("R10C",'Mapa final'!$Q$66),"")</f>
        <v/>
      </c>
      <c r="AN35" s="70"/>
      <c r="AO35" s="366"/>
      <c r="AP35" s="367"/>
      <c r="AQ35" s="367"/>
      <c r="AR35" s="367"/>
      <c r="AS35" s="367"/>
      <c r="AT35" s="368"/>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81"/>
      <c r="C36" s="281"/>
      <c r="D36" s="282"/>
      <c r="E36" s="319" t="s">
        <v>110</v>
      </c>
      <c r="F36" s="320"/>
      <c r="G36" s="320"/>
      <c r="H36" s="320"/>
      <c r="I36" s="320"/>
      <c r="J36" s="60" t="str">
        <f>IF(AND('Mapa final'!$AA$7="Baja",'Mapa final'!$AC$7="Leve"),CONCATENATE("R1C",'Mapa final'!$Q$7),"")</f>
        <v>R1C1</v>
      </c>
      <c r="K36" s="61" t="str">
        <f>IF(AND('Mapa final'!$AA$8="Baja",'Mapa final'!$AC$8="Leve"),CONCATENATE("R1C",'Mapa final'!$Q$8),"")</f>
        <v>R1C2</v>
      </c>
      <c r="L36" s="61" t="str">
        <f>IF(AND('Mapa final'!$AA$9="Baja",'Mapa final'!$AC$9="Leve"),CONCATENATE("R1C",'Mapa final'!$Q$9),"")</f>
        <v>R1C3</v>
      </c>
      <c r="M36" s="61" t="str">
        <f>IF(AND('Mapa final'!$AA$10="Baja",'Mapa final'!$AC$10="Leve"),CONCATENATE("R1C",'Mapa final'!$Q$10),"")</f>
        <v>R1C4</v>
      </c>
      <c r="N36" s="61" t="str">
        <f>IF(AND('Mapa final'!$AA$11="Baja",'Mapa final'!$AC$11="Leve"),CONCATENATE("R1C",'Mapa final'!$Q$11),"")</f>
        <v/>
      </c>
      <c r="O36" s="62" t="str">
        <f>IF(AND('Mapa final'!$AA$12="Baja",'Mapa final'!$AC$12="Leve"),CONCATENATE("R1C",'Mapa final'!$Q$12),"")</f>
        <v/>
      </c>
      <c r="P36" s="51" t="str">
        <f>IF(AND('Mapa final'!$AA$7="Baja",'Mapa final'!$AC$7="Menor"),CONCATENATE("R1C",'Mapa final'!$Q$7),"")</f>
        <v/>
      </c>
      <c r="Q36" s="52" t="str">
        <f>IF(AND('Mapa final'!$AA$8="Baja",'Mapa final'!$AC$8="Menor"),CONCATENATE("R1C",'Mapa final'!$Q$8),"")</f>
        <v/>
      </c>
      <c r="R36" s="52" t="str">
        <f>IF(AND('Mapa final'!$AA$9="Baja",'Mapa final'!$AC$9="Menor"),CONCATENATE("R1C",'Mapa final'!$Q$9),"")</f>
        <v/>
      </c>
      <c r="S36" s="52" t="str">
        <f>IF(AND('Mapa final'!$AA$10="Baja",'Mapa final'!$AC$10="Menor"),CONCATENATE("R1C",'Mapa final'!$Q$10),"")</f>
        <v/>
      </c>
      <c r="T36" s="52" t="str">
        <f>IF(AND('Mapa final'!$AA$11="Baja",'Mapa final'!$AC$11="Menor"),CONCATENATE("R1C",'Mapa final'!$Q$11),"")</f>
        <v/>
      </c>
      <c r="U36" s="53" t="str">
        <f>IF(AND('Mapa final'!$AA$12="Baja",'Mapa final'!$AC$12="Menor"),CONCATENATE("R1C",'Mapa final'!$Q$12),"")</f>
        <v/>
      </c>
      <c r="V36" s="51" t="str">
        <f>IF(AND('Mapa final'!$AA$7="Baja",'Mapa final'!$AC$7="Moderado"),CONCATENATE("R1C",'Mapa final'!$Q$7),"")</f>
        <v/>
      </c>
      <c r="W36" s="52" t="str">
        <f>IF(AND('Mapa final'!$AA$8="Baja",'Mapa final'!$AC$8="Moderado"),CONCATENATE("R1C",'Mapa final'!$Q$8),"")</f>
        <v/>
      </c>
      <c r="X36" s="52" t="str">
        <f>IF(AND('Mapa final'!$AA$9="Baja",'Mapa final'!$AC$9="Moderado"),CONCATENATE("R1C",'Mapa final'!$Q$9),"")</f>
        <v/>
      </c>
      <c r="Y36" s="52" t="str">
        <f>IF(AND('Mapa final'!$AA$10="Baja",'Mapa final'!$AC$10="Moderado"),CONCATENATE("R1C",'Mapa final'!$Q$10),"")</f>
        <v/>
      </c>
      <c r="Z36" s="52" t="str">
        <f>IF(AND('Mapa final'!$AA$11="Baja",'Mapa final'!$AC$11="Moderado"),CONCATENATE("R1C",'Mapa final'!$Q$11),"")</f>
        <v/>
      </c>
      <c r="AA36" s="53" t="str">
        <f>IF(AND('Mapa final'!$AA$12="Baja",'Mapa final'!$AC$12="Moderado"),CONCATENATE("R1C",'Mapa final'!$Q$12),"")</f>
        <v/>
      </c>
      <c r="AB36" s="32" t="str">
        <f>IF(AND('Mapa final'!$AA$7="Baja",'Mapa final'!$AC$7="Mayor"),CONCATENATE("R1C",'Mapa final'!$Q$7),"")</f>
        <v/>
      </c>
      <c r="AC36" s="33" t="str">
        <f>IF(AND('Mapa final'!$AA$8="Baja",'Mapa final'!$AC$8="Mayor"),CONCATENATE("R1C",'Mapa final'!$Q$8),"")</f>
        <v/>
      </c>
      <c r="AD36" s="33" t="str">
        <f>IF(AND('Mapa final'!$AA$9="Baja",'Mapa final'!$AC$9="Mayor"),CONCATENATE("R1C",'Mapa final'!$Q$9),"")</f>
        <v/>
      </c>
      <c r="AE36" s="33" t="str">
        <f>IF(AND('Mapa final'!$AA$10="Baja",'Mapa final'!$AC$10="Mayor"),CONCATENATE("R1C",'Mapa final'!$Q$10),"")</f>
        <v/>
      </c>
      <c r="AF36" s="33" t="str">
        <f>IF(AND('Mapa final'!$AA$11="Baja",'Mapa final'!$AC$11="Mayor"),CONCATENATE("R1C",'Mapa final'!$Q$11),"")</f>
        <v/>
      </c>
      <c r="AG36" s="34" t="str">
        <f>IF(AND('Mapa final'!$AA$12="Baja",'Mapa final'!$AC$12="Mayor"),CONCATENATE("R1C",'Mapa final'!$Q$12),"")</f>
        <v/>
      </c>
      <c r="AH36" s="35" t="str">
        <f>IF(AND('Mapa final'!$AA$7="Baja",'Mapa final'!$AC$7="Catastrófico"),CONCATENATE("R1C",'Mapa final'!$Q$7),"")</f>
        <v/>
      </c>
      <c r="AI36" s="36" t="str">
        <f>IF(AND('Mapa final'!$AA$8="Baja",'Mapa final'!$AC$8="Catastrófico"),CONCATENATE("R1C",'Mapa final'!$Q$8),"")</f>
        <v/>
      </c>
      <c r="AJ36" s="36" t="str">
        <f>IF(AND('Mapa final'!$AA$9="Baja",'Mapa final'!$AC$9="Catastrófico"),CONCATENATE("R1C",'Mapa final'!$Q$9),"")</f>
        <v/>
      </c>
      <c r="AK36" s="36" t="str">
        <f>IF(AND('Mapa final'!$AA$10="Baja",'Mapa final'!$AC$10="Catastrófico"),CONCATENATE("R1C",'Mapa final'!$Q$10),"")</f>
        <v/>
      </c>
      <c r="AL36" s="36" t="str">
        <f>IF(AND('Mapa final'!$AA$11="Baja",'Mapa final'!$AC$11="Catastrófico"),CONCATENATE("R1C",'Mapa final'!$Q$11),"")</f>
        <v/>
      </c>
      <c r="AM36" s="37" t="str">
        <f>IF(AND('Mapa final'!$AA$12="Baja",'Mapa final'!$AC$12="Catastrófico"),CONCATENATE("R1C",'Mapa final'!$Q$12),"")</f>
        <v/>
      </c>
      <c r="AN36" s="70"/>
      <c r="AO36" s="351" t="s">
        <v>78</v>
      </c>
      <c r="AP36" s="352"/>
      <c r="AQ36" s="352"/>
      <c r="AR36" s="352"/>
      <c r="AS36" s="352"/>
      <c r="AT36" s="353"/>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81"/>
      <c r="C37" s="281"/>
      <c r="D37" s="282"/>
      <c r="E37" s="338"/>
      <c r="F37" s="339"/>
      <c r="G37" s="339"/>
      <c r="H37" s="339"/>
      <c r="I37" s="339"/>
      <c r="J37" s="63" t="str">
        <f ca="1">IF(AND('Mapa final'!$AA$13="Baja",'Mapa final'!$AC$13="Leve"),CONCATENATE("R2C",'Mapa final'!$Q$13),"")</f>
        <v/>
      </c>
      <c r="K37" s="64" t="str">
        <f>IF(AND('Mapa final'!$AA$14="Baja",'Mapa final'!$AC$14="Leve"),CONCATENATE("R2C",'Mapa final'!$Q$14),"")</f>
        <v/>
      </c>
      <c r="L37" s="64" t="str">
        <f>IF(AND('Mapa final'!$AA$15="Baja",'Mapa final'!$AC$15="Leve"),CONCATENATE("R2C",'Mapa final'!$Q$15),"")</f>
        <v/>
      </c>
      <c r="M37" s="64" t="str">
        <f>IF(AND('Mapa final'!$AA$16="Baja",'Mapa final'!$AC$16="Leve"),CONCATENATE("R2C",'Mapa final'!$Q$16),"")</f>
        <v/>
      </c>
      <c r="N37" s="64" t="str">
        <f>IF(AND('Mapa final'!$AA$17="Baja",'Mapa final'!$AC$17="Leve"),CONCATENATE("R2C",'Mapa final'!$Q$17),"")</f>
        <v/>
      </c>
      <c r="O37" s="65" t="str">
        <f>IF(AND('Mapa final'!$AA$18="Baja",'Mapa final'!$AC$18="Leve"),CONCATENATE("R2C",'Mapa final'!$Q$18),"")</f>
        <v/>
      </c>
      <c r="P37" s="54" t="str">
        <f ca="1">IF(AND('Mapa final'!$AA$13="Baja",'Mapa final'!$AC$13="Menor"),CONCATENATE("R2C",'Mapa final'!$Q$13),"")</f>
        <v/>
      </c>
      <c r="Q37" s="55" t="str">
        <f>IF(AND('Mapa final'!$AA$14="Baja",'Mapa final'!$AC$14="Menor"),CONCATENATE("R2C",'Mapa final'!$Q$14),"")</f>
        <v/>
      </c>
      <c r="R37" s="55" t="str">
        <f>IF(AND('Mapa final'!$AA$15="Baja",'Mapa final'!$AC$15="Menor"),CONCATENATE("R2C",'Mapa final'!$Q$15),"")</f>
        <v/>
      </c>
      <c r="S37" s="55" t="str">
        <f>IF(AND('Mapa final'!$AA$16="Baja",'Mapa final'!$AC$16="Menor"),CONCATENATE("R2C",'Mapa final'!$Q$16),"")</f>
        <v/>
      </c>
      <c r="T37" s="55" t="str">
        <f>IF(AND('Mapa final'!$AA$17="Baja",'Mapa final'!$AC$17="Menor"),CONCATENATE("R2C",'Mapa final'!$Q$17),"")</f>
        <v/>
      </c>
      <c r="U37" s="56" t="str">
        <f>IF(AND('Mapa final'!$AA$18="Baja",'Mapa final'!$AC$18="Menor"),CONCATENATE("R2C",'Mapa final'!$Q$18),"")</f>
        <v/>
      </c>
      <c r="V37" s="54" t="str">
        <f ca="1">IF(AND('Mapa final'!$AA$13="Baja",'Mapa final'!$AC$13="Moderado"),CONCATENATE("R2C",'Mapa final'!$Q$13),"")</f>
        <v/>
      </c>
      <c r="W37" s="55" t="str">
        <f>IF(AND('Mapa final'!$AA$14="Baja",'Mapa final'!$AC$14="Moderado"),CONCATENATE("R2C",'Mapa final'!$Q$14),"")</f>
        <v/>
      </c>
      <c r="X37" s="55" t="str">
        <f>IF(AND('Mapa final'!$AA$15="Baja",'Mapa final'!$AC$15="Moderado"),CONCATENATE("R2C",'Mapa final'!$Q$15),"")</f>
        <v/>
      </c>
      <c r="Y37" s="55" t="str">
        <f>IF(AND('Mapa final'!$AA$16="Baja",'Mapa final'!$AC$16="Moderado"),CONCATENATE("R2C",'Mapa final'!$Q$16),"")</f>
        <v/>
      </c>
      <c r="Z37" s="55" t="str">
        <f>IF(AND('Mapa final'!$AA$17="Baja",'Mapa final'!$AC$17="Moderado"),CONCATENATE("R2C",'Mapa final'!$Q$17),"")</f>
        <v/>
      </c>
      <c r="AA37" s="56" t="str">
        <f>IF(AND('Mapa final'!$AA$18="Baja",'Mapa final'!$AC$18="Moderado"),CONCATENATE("R2C",'Mapa final'!$Q$18),"")</f>
        <v/>
      </c>
      <c r="AB37" s="38" t="str">
        <f ca="1">IF(AND('Mapa final'!$AA$13="Baja",'Mapa final'!$AC$13="Mayor"),CONCATENATE("R2C",'Mapa final'!$Q$13),"")</f>
        <v/>
      </c>
      <c r="AC37" s="39" t="str">
        <f>IF(AND('Mapa final'!$AA$14="Baja",'Mapa final'!$AC$14="Mayor"),CONCATENATE("R2C",'Mapa final'!$Q$14),"")</f>
        <v/>
      </c>
      <c r="AD37" s="39" t="str">
        <f>IF(AND('Mapa final'!$AA$15="Baja",'Mapa final'!$AC$15="Mayor"),CONCATENATE("R2C",'Mapa final'!$Q$15),"")</f>
        <v/>
      </c>
      <c r="AE37" s="39" t="str">
        <f>IF(AND('Mapa final'!$AA$16="Baja",'Mapa final'!$AC$16="Mayor"),CONCATENATE("R2C",'Mapa final'!$Q$16),"")</f>
        <v/>
      </c>
      <c r="AF37" s="39" t="str">
        <f>IF(AND('Mapa final'!$AA$17="Baja",'Mapa final'!$AC$17="Mayor"),CONCATENATE("R2C",'Mapa final'!$Q$17),"")</f>
        <v/>
      </c>
      <c r="AG37" s="40" t="str">
        <f>IF(AND('Mapa final'!$AA$18="Baja",'Mapa final'!$AC$18="Mayor"),CONCATENATE("R2C",'Mapa final'!$Q$18),"")</f>
        <v/>
      </c>
      <c r="AH37" s="41" t="str">
        <f ca="1">IF(AND('Mapa final'!$AA$13="Baja",'Mapa final'!$AC$13="Catastrófico"),CONCATENATE("R2C",'Mapa final'!$Q$13),"")</f>
        <v/>
      </c>
      <c r="AI37" s="42" t="str">
        <f>IF(AND('Mapa final'!$AA$14="Baja",'Mapa final'!$AC$14="Catastrófico"),CONCATENATE("R2C",'Mapa final'!$Q$14),"")</f>
        <v/>
      </c>
      <c r="AJ37" s="42" t="str">
        <f>IF(AND('Mapa final'!$AA$15="Baja",'Mapa final'!$AC$15="Catastrófico"),CONCATENATE("R2C",'Mapa final'!$Q$15),"")</f>
        <v/>
      </c>
      <c r="AK37" s="42" t="str">
        <f>IF(AND('Mapa final'!$AA$16="Baja",'Mapa final'!$AC$16="Catastrófico"),CONCATENATE("R2C",'Mapa final'!$Q$16),"")</f>
        <v/>
      </c>
      <c r="AL37" s="42" t="str">
        <f>IF(AND('Mapa final'!$AA$17="Baja",'Mapa final'!$AC$17="Catastrófico"),CONCATENATE("R2C",'Mapa final'!$Q$17),"")</f>
        <v/>
      </c>
      <c r="AM37" s="43" t="str">
        <f>IF(AND('Mapa final'!$AA$18="Baja",'Mapa final'!$AC$18="Catastrófico"),CONCATENATE("R2C",'Mapa final'!$Q$18),"")</f>
        <v/>
      </c>
      <c r="AN37" s="70"/>
      <c r="AO37" s="354"/>
      <c r="AP37" s="355"/>
      <c r="AQ37" s="355"/>
      <c r="AR37" s="355"/>
      <c r="AS37" s="355"/>
      <c r="AT37" s="356"/>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81"/>
      <c r="C38" s="281"/>
      <c r="D38" s="282"/>
      <c r="E38" s="322"/>
      <c r="F38" s="323"/>
      <c r="G38" s="323"/>
      <c r="H38" s="323"/>
      <c r="I38" s="339"/>
      <c r="J38" s="63" t="str">
        <f>IF(AND('Mapa final'!$AA$19="Baja",'Mapa final'!$AC$19="Leve"),CONCATENATE("R3C",'Mapa final'!$Q$19),"")</f>
        <v/>
      </c>
      <c r="K38" s="64" t="str">
        <f>IF(AND('Mapa final'!$AA$20="Baja",'Mapa final'!$AC$20="Leve"),CONCATENATE("R3C",'Mapa final'!$Q$20),"")</f>
        <v/>
      </c>
      <c r="L38" s="64" t="str">
        <f>IF(AND('Mapa final'!$AA$21="Baja",'Mapa final'!$AC$21="Leve"),CONCATENATE("R3C",'Mapa final'!$Q$21),"")</f>
        <v/>
      </c>
      <c r="M38" s="64" t="str">
        <f>IF(AND('Mapa final'!$AA$22="Baja",'Mapa final'!$AC$22="Leve"),CONCATENATE("R3C",'Mapa final'!$Q$22),"")</f>
        <v/>
      </c>
      <c r="N38" s="64" t="str">
        <f>IF(AND('Mapa final'!$AA$23="Baja",'Mapa final'!$AC$23="Leve"),CONCATENATE("R3C",'Mapa final'!$Q$23),"")</f>
        <v/>
      </c>
      <c r="O38" s="65" t="str">
        <f>IF(AND('Mapa final'!$AA$24="Baja",'Mapa final'!$AC$24="Leve"),CONCATENATE("R3C",'Mapa final'!$Q$24),"")</f>
        <v/>
      </c>
      <c r="P38" s="54" t="str">
        <f>IF(AND('Mapa final'!$AA$19="Baja",'Mapa final'!$AC$19="Menor"),CONCATENATE("R3C",'Mapa final'!$Q$19),"")</f>
        <v/>
      </c>
      <c r="Q38" s="55" t="str">
        <f>IF(AND('Mapa final'!$AA$20="Baja",'Mapa final'!$AC$20="Menor"),CONCATENATE("R3C",'Mapa final'!$Q$20),"")</f>
        <v/>
      </c>
      <c r="R38" s="55" t="str">
        <f>IF(AND('Mapa final'!$AA$21="Baja",'Mapa final'!$AC$21="Menor"),CONCATENATE("R3C",'Mapa final'!$Q$21),"")</f>
        <v/>
      </c>
      <c r="S38" s="55" t="str">
        <f>IF(AND('Mapa final'!$AA$22="Baja",'Mapa final'!$AC$22="Menor"),CONCATENATE("R3C",'Mapa final'!$Q$22),"")</f>
        <v/>
      </c>
      <c r="T38" s="55" t="str">
        <f>IF(AND('Mapa final'!$AA$23="Baja",'Mapa final'!$AC$23="Menor"),CONCATENATE("R3C",'Mapa final'!$Q$23),"")</f>
        <v/>
      </c>
      <c r="U38" s="56" t="str">
        <f>IF(AND('Mapa final'!$AA$24="Baja",'Mapa final'!$AC$24="Menor"),CONCATENATE("R3C",'Mapa final'!$Q$24),"")</f>
        <v/>
      </c>
      <c r="V38" s="54" t="str">
        <f>IF(AND('Mapa final'!$AA$19="Baja",'Mapa final'!$AC$19="Moderado"),CONCATENATE("R3C",'Mapa final'!$Q$19),"")</f>
        <v/>
      </c>
      <c r="W38" s="55" t="str">
        <f>IF(AND('Mapa final'!$AA$20="Baja",'Mapa final'!$AC$20="Moderado"),CONCATENATE("R3C",'Mapa final'!$Q$20),"")</f>
        <v/>
      </c>
      <c r="X38" s="55" t="str">
        <f>IF(AND('Mapa final'!$AA$21="Baja",'Mapa final'!$AC$21="Moderado"),CONCATENATE("R3C",'Mapa final'!$Q$21),"")</f>
        <v/>
      </c>
      <c r="Y38" s="55" t="str">
        <f>IF(AND('Mapa final'!$AA$22="Baja",'Mapa final'!$AC$22="Moderado"),CONCATENATE("R3C",'Mapa final'!$Q$22),"")</f>
        <v/>
      </c>
      <c r="Z38" s="55" t="str">
        <f>IF(AND('Mapa final'!$AA$23="Baja",'Mapa final'!$AC$23="Moderado"),CONCATENATE("R3C",'Mapa final'!$Q$23),"")</f>
        <v/>
      </c>
      <c r="AA38" s="56" t="str">
        <f>IF(AND('Mapa final'!$AA$24="Baja",'Mapa final'!$AC$24="Moderado"),CONCATENATE("R3C",'Mapa final'!$Q$24),"")</f>
        <v/>
      </c>
      <c r="AB38" s="38" t="str">
        <f>IF(AND('Mapa final'!$AA$19="Baja",'Mapa final'!$AC$19="Mayor"),CONCATENATE("R3C",'Mapa final'!$Q$19),"")</f>
        <v/>
      </c>
      <c r="AC38" s="39" t="str">
        <f>IF(AND('Mapa final'!$AA$20="Baja",'Mapa final'!$AC$20="Mayor"),CONCATENATE("R3C",'Mapa final'!$Q$20),"")</f>
        <v/>
      </c>
      <c r="AD38" s="39" t="str">
        <f>IF(AND('Mapa final'!$AA$21="Baja",'Mapa final'!$AC$21="Mayor"),CONCATENATE("R3C",'Mapa final'!$Q$21),"")</f>
        <v/>
      </c>
      <c r="AE38" s="39" t="str">
        <f>IF(AND('Mapa final'!$AA$22="Baja",'Mapa final'!$AC$22="Mayor"),CONCATENATE("R3C",'Mapa final'!$Q$22),"")</f>
        <v/>
      </c>
      <c r="AF38" s="39" t="str">
        <f>IF(AND('Mapa final'!$AA$23="Baja",'Mapa final'!$AC$23="Mayor"),CONCATENATE("R3C",'Mapa final'!$Q$23),"")</f>
        <v/>
      </c>
      <c r="AG38" s="40" t="str">
        <f>IF(AND('Mapa final'!$AA$24="Baja",'Mapa final'!$AC$24="Mayor"),CONCATENATE("R3C",'Mapa final'!$Q$24),"")</f>
        <v/>
      </c>
      <c r="AH38" s="41" t="str">
        <f>IF(AND('Mapa final'!$AA$19="Baja",'Mapa final'!$AC$19="Catastrófico"),CONCATENATE("R3C",'Mapa final'!$Q$19),"")</f>
        <v/>
      </c>
      <c r="AI38" s="42" t="str">
        <f>IF(AND('Mapa final'!$AA$20="Baja",'Mapa final'!$AC$20="Catastrófico"),CONCATENATE("R3C",'Mapa final'!$Q$20),"")</f>
        <v/>
      </c>
      <c r="AJ38" s="42" t="str">
        <f>IF(AND('Mapa final'!$AA$21="Baja",'Mapa final'!$AC$21="Catastrófico"),CONCATENATE("R3C",'Mapa final'!$Q$21),"")</f>
        <v/>
      </c>
      <c r="AK38" s="42" t="str">
        <f>IF(AND('Mapa final'!$AA$22="Baja",'Mapa final'!$AC$22="Catastrófico"),CONCATENATE("R3C",'Mapa final'!$Q$22),"")</f>
        <v/>
      </c>
      <c r="AL38" s="42" t="str">
        <f>IF(AND('Mapa final'!$AA$23="Baja",'Mapa final'!$AC$23="Catastrófico"),CONCATENATE("R3C",'Mapa final'!$Q$23),"")</f>
        <v/>
      </c>
      <c r="AM38" s="43" t="str">
        <f>IF(AND('Mapa final'!$AA$24="Baja",'Mapa final'!$AC$24="Catastrófico"),CONCATENATE("R3C",'Mapa final'!$Q$24),"")</f>
        <v/>
      </c>
      <c r="AN38" s="70"/>
      <c r="AO38" s="354"/>
      <c r="AP38" s="355"/>
      <c r="AQ38" s="355"/>
      <c r="AR38" s="355"/>
      <c r="AS38" s="355"/>
      <c r="AT38" s="356"/>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81"/>
      <c r="C39" s="281"/>
      <c r="D39" s="282"/>
      <c r="E39" s="322"/>
      <c r="F39" s="323"/>
      <c r="G39" s="323"/>
      <c r="H39" s="323"/>
      <c r="I39" s="339"/>
      <c r="J39" s="63" t="str">
        <f>IF(AND('Mapa final'!$AA$25="Baja",'Mapa final'!$AC$25="Leve"),CONCATENATE("R4C",'Mapa final'!$Q$25),"")</f>
        <v/>
      </c>
      <c r="K39" s="64" t="str">
        <f>IF(AND('Mapa final'!$AA$26="Baja",'Mapa final'!$AC$26="Leve"),CONCATENATE("R4C",'Mapa final'!$Q$26),"")</f>
        <v/>
      </c>
      <c r="L39" s="64" t="str">
        <f>IF(AND('Mapa final'!$AA$27="Baja",'Mapa final'!$AC$27="Leve"),CONCATENATE("R4C",'Mapa final'!$Q$27),"")</f>
        <v/>
      </c>
      <c r="M39" s="64" t="str">
        <f>IF(AND('Mapa final'!$AA$28="Baja",'Mapa final'!$AC$28="Leve"),CONCATENATE("R4C",'Mapa final'!$Q$28),"")</f>
        <v/>
      </c>
      <c r="N39" s="64" t="str">
        <f>IF(AND('Mapa final'!$AA$29="Baja",'Mapa final'!$AC$29="Leve"),CONCATENATE("R4C",'Mapa final'!$Q$29),"")</f>
        <v/>
      </c>
      <c r="O39" s="65" t="str">
        <f>IF(AND('Mapa final'!$AA$30="Baja",'Mapa final'!$AC$30="Leve"),CONCATENATE("R4C",'Mapa final'!$Q$30),"")</f>
        <v/>
      </c>
      <c r="P39" s="54" t="str">
        <f>IF(AND('Mapa final'!$AA$25="Baja",'Mapa final'!$AC$25="Menor"),CONCATENATE("R4C",'Mapa final'!$Q$25),"")</f>
        <v/>
      </c>
      <c r="Q39" s="55" t="str">
        <f>IF(AND('Mapa final'!$AA$26="Baja",'Mapa final'!$AC$26="Menor"),CONCATENATE("R4C",'Mapa final'!$Q$26),"")</f>
        <v/>
      </c>
      <c r="R39" s="55" t="str">
        <f>IF(AND('Mapa final'!$AA$27="Baja",'Mapa final'!$AC$27="Menor"),CONCATENATE("R4C",'Mapa final'!$Q$27),"")</f>
        <v/>
      </c>
      <c r="S39" s="55" t="str">
        <f>IF(AND('Mapa final'!$AA$28="Baja",'Mapa final'!$AC$28="Menor"),CONCATENATE("R4C",'Mapa final'!$Q$28),"")</f>
        <v/>
      </c>
      <c r="T39" s="55" t="str">
        <f>IF(AND('Mapa final'!$AA$29="Baja",'Mapa final'!$AC$29="Menor"),CONCATENATE("R4C",'Mapa final'!$Q$29),"")</f>
        <v/>
      </c>
      <c r="U39" s="56" t="str">
        <f>IF(AND('Mapa final'!$AA$30="Baja",'Mapa final'!$AC$30="Menor"),CONCATENATE("R4C",'Mapa final'!$Q$30),"")</f>
        <v/>
      </c>
      <c r="V39" s="54" t="str">
        <f>IF(AND('Mapa final'!$AA$25="Baja",'Mapa final'!$AC$25="Moderado"),CONCATENATE("R4C",'Mapa final'!$Q$25),"")</f>
        <v/>
      </c>
      <c r="W39" s="55" t="str">
        <f>IF(AND('Mapa final'!$AA$26="Baja",'Mapa final'!$AC$26="Moderado"),CONCATENATE("R4C",'Mapa final'!$Q$26),"")</f>
        <v/>
      </c>
      <c r="X39" s="55" t="str">
        <f>IF(AND('Mapa final'!$AA$27="Baja",'Mapa final'!$AC$27="Moderado"),CONCATENATE("R4C",'Mapa final'!$Q$27),"")</f>
        <v/>
      </c>
      <c r="Y39" s="55" t="str">
        <f>IF(AND('Mapa final'!$AA$28="Baja",'Mapa final'!$AC$28="Moderado"),CONCATENATE("R4C",'Mapa final'!$Q$28),"")</f>
        <v/>
      </c>
      <c r="Z39" s="55" t="str">
        <f>IF(AND('Mapa final'!$AA$29="Baja",'Mapa final'!$AC$29="Moderado"),CONCATENATE("R4C",'Mapa final'!$Q$29),"")</f>
        <v/>
      </c>
      <c r="AA39" s="56" t="str">
        <f>IF(AND('Mapa final'!$AA$30="Baja",'Mapa final'!$AC$30="Moderado"),CONCATENATE("R4C",'Mapa final'!$Q$30),"")</f>
        <v/>
      </c>
      <c r="AB39" s="38" t="str">
        <f>IF(AND('Mapa final'!$AA$25="Baja",'Mapa final'!$AC$25="Mayor"),CONCATENATE("R4C",'Mapa final'!$Q$25),"")</f>
        <v/>
      </c>
      <c r="AC39" s="39" t="str">
        <f>IF(AND('Mapa final'!$AA$26="Baja",'Mapa final'!$AC$26="Mayor"),CONCATENATE("R4C",'Mapa final'!$Q$26),"")</f>
        <v/>
      </c>
      <c r="AD39" s="39" t="str">
        <f>IF(AND('Mapa final'!$AA$27="Baja",'Mapa final'!$AC$27="Mayor"),CONCATENATE("R4C",'Mapa final'!$Q$27),"")</f>
        <v/>
      </c>
      <c r="AE39" s="39" t="str">
        <f>IF(AND('Mapa final'!$AA$28="Baja",'Mapa final'!$AC$28="Mayor"),CONCATENATE("R4C",'Mapa final'!$Q$28),"")</f>
        <v/>
      </c>
      <c r="AF39" s="39" t="str">
        <f>IF(AND('Mapa final'!$AA$29="Baja",'Mapa final'!$AC$29="Mayor"),CONCATENATE("R4C",'Mapa final'!$Q$29),"")</f>
        <v/>
      </c>
      <c r="AG39" s="40" t="str">
        <f>IF(AND('Mapa final'!$AA$30="Baja",'Mapa final'!$AC$30="Mayor"),CONCATENATE("R4C",'Mapa final'!$Q$30),"")</f>
        <v/>
      </c>
      <c r="AH39" s="41" t="str">
        <f>IF(AND('Mapa final'!$AA$25="Baja",'Mapa final'!$AC$25="Catastrófico"),CONCATENATE("R4C",'Mapa final'!$Q$25),"")</f>
        <v/>
      </c>
      <c r="AI39" s="42" t="str">
        <f>IF(AND('Mapa final'!$AA$26="Baja",'Mapa final'!$AC$26="Catastrófico"),CONCATENATE("R4C",'Mapa final'!$Q$26),"")</f>
        <v/>
      </c>
      <c r="AJ39" s="42" t="str">
        <f>IF(AND('Mapa final'!$AA$27="Baja",'Mapa final'!$AC$27="Catastrófico"),CONCATENATE("R4C",'Mapa final'!$Q$27),"")</f>
        <v/>
      </c>
      <c r="AK39" s="42" t="str">
        <f>IF(AND('Mapa final'!$AA$28="Baja",'Mapa final'!$AC$28="Catastrófico"),CONCATENATE("R4C",'Mapa final'!$Q$28),"")</f>
        <v/>
      </c>
      <c r="AL39" s="42" t="str">
        <f>IF(AND('Mapa final'!$AA$29="Baja",'Mapa final'!$AC$29="Catastrófico"),CONCATENATE("R4C",'Mapa final'!$Q$29),"")</f>
        <v/>
      </c>
      <c r="AM39" s="43" t="str">
        <f>IF(AND('Mapa final'!$AA$30="Baja",'Mapa final'!$AC$30="Catastrófico"),CONCATENATE("R4C",'Mapa final'!$Q$30),"")</f>
        <v/>
      </c>
      <c r="AN39" s="70"/>
      <c r="AO39" s="354"/>
      <c r="AP39" s="355"/>
      <c r="AQ39" s="355"/>
      <c r="AR39" s="355"/>
      <c r="AS39" s="355"/>
      <c r="AT39" s="356"/>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81"/>
      <c r="C40" s="281"/>
      <c r="D40" s="282"/>
      <c r="E40" s="322"/>
      <c r="F40" s="323"/>
      <c r="G40" s="323"/>
      <c r="H40" s="323"/>
      <c r="I40" s="339"/>
      <c r="J40" s="63" t="str">
        <f>IF(AND('Mapa final'!$AA$31="Baja",'Mapa final'!$AC$31="Leve"),CONCATENATE("R5C",'Mapa final'!$Q$31),"")</f>
        <v/>
      </c>
      <c r="K40" s="64" t="str">
        <f>IF(AND('Mapa final'!$AA$32="Baja",'Mapa final'!$AC$32="Leve"),CONCATENATE("R5C",'Mapa final'!$Q$32),"")</f>
        <v/>
      </c>
      <c r="L40" s="64" t="str">
        <f>IF(AND('Mapa final'!$AA$33="Baja",'Mapa final'!$AC$33="Leve"),CONCATENATE("R5C",'Mapa final'!$Q$33),"")</f>
        <v/>
      </c>
      <c r="M40" s="64" t="str">
        <f>IF(AND('Mapa final'!$AA$34="Baja",'Mapa final'!$AC$34="Leve"),CONCATENATE("R5C",'Mapa final'!$Q$34),"")</f>
        <v/>
      </c>
      <c r="N40" s="64" t="str">
        <f>IF(AND('Mapa final'!$AA$35="Baja",'Mapa final'!$AC$35="Leve"),CONCATENATE("R5C",'Mapa final'!$Q$35),"")</f>
        <v/>
      </c>
      <c r="O40" s="65" t="str">
        <f>IF(AND('Mapa final'!$AA$36="Baja",'Mapa final'!$AC$36="Leve"),CONCATENATE("R5C",'Mapa final'!$Q$36),"")</f>
        <v/>
      </c>
      <c r="P40" s="54" t="str">
        <f>IF(AND('Mapa final'!$AA$31="Baja",'Mapa final'!$AC$31="Menor"),CONCATENATE("R5C",'Mapa final'!$Q$31),"")</f>
        <v/>
      </c>
      <c r="Q40" s="55" t="str">
        <f>IF(AND('Mapa final'!$AA$32="Baja",'Mapa final'!$AC$32="Menor"),CONCATENATE("R5C",'Mapa final'!$Q$32),"")</f>
        <v/>
      </c>
      <c r="R40" s="55" t="str">
        <f>IF(AND('Mapa final'!$AA$33="Baja",'Mapa final'!$AC$33="Menor"),CONCATENATE("R5C",'Mapa final'!$Q$33),"")</f>
        <v/>
      </c>
      <c r="S40" s="55" t="str">
        <f>IF(AND('Mapa final'!$AA$34="Baja",'Mapa final'!$AC$34="Menor"),CONCATENATE("R5C",'Mapa final'!$Q$34),"")</f>
        <v/>
      </c>
      <c r="T40" s="55" t="str">
        <f>IF(AND('Mapa final'!$AA$35="Baja",'Mapa final'!$AC$35="Menor"),CONCATENATE("R5C",'Mapa final'!$Q$35),"")</f>
        <v/>
      </c>
      <c r="U40" s="56" t="str">
        <f>IF(AND('Mapa final'!$AA$36="Baja",'Mapa final'!$AC$36="Menor"),CONCATENATE("R5C",'Mapa final'!$Q$36),"")</f>
        <v/>
      </c>
      <c r="V40" s="54" t="str">
        <f>IF(AND('Mapa final'!$AA$31="Baja",'Mapa final'!$AC$31="Moderado"),CONCATENATE("R5C",'Mapa final'!$Q$31),"")</f>
        <v/>
      </c>
      <c r="W40" s="55" t="str">
        <f>IF(AND('Mapa final'!$AA$32="Baja",'Mapa final'!$AC$32="Moderado"),CONCATENATE("R5C",'Mapa final'!$Q$32),"")</f>
        <v/>
      </c>
      <c r="X40" s="55" t="str">
        <f>IF(AND('Mapa final'!$AA$33="Baja",'Mapa final'!$AC$33="Moderado"),CONCATENATE("R5C",'Mapa final'!$Q$33),"")</f>
        <v/>
      </c>
      <c r="Y40" s="55" t="str">
        <f>IF(AND('Mapa final'!$AA$34="Baja",'Mapa final'!$AC$34="Moderado"),CONCATENATE("R5C",'Mapa final'!$Q$34),"")</f>
        <v/>
      </c>
      <c r="Z40" s="55" t="str">
        <f>IF(AND('Mapa final'!$AA$35="Baja",'Mapa final'!$AC$35="Moderado"),CONCATENATE("R5C",'Mapa final'!$Q$35),"")</f>
        <v/>
      </c>
      <c r="AA40" s="56" t="str">
        <f>IF(AND('Mapa final'!$AA$36="Baja",'Mapa final'!$AC$36="Moderado"),CONCATENATE("R5C",'Mapa final'!$Q$36),"")</f>
        <v/>
      </c>
      <c r="AB40" s="38" t="str">
        <f>IF(AND('Mapa final'!$AA$31="Baja",'Mapa final'!$AC$31="Mayor"),CONCATENATE("R5C",'Mapa final'!$Q$31),"")</f>
        <v/>
      </c>
      <c r="AC40" s="39" t="str">
        <f>IF(AND('Mapa final'!$AA$32="Baja",'Mapa final'!$AC$32="Mayor"),CONCATENATE("R5C",'Mapa final'!$Q$32),"")</f>
        <v/>
      </c>
      <c r="AD40" s="44" t="str">
        <f>IF(AND('Mapa final'!$AA$33="Baja",'Mapa final'!$AC$33="Mayor"),CONCATENATE("R5C",'Mapa final'!$Q$33),"")</f>
        <v/>
      </c>
      <c r="AE40" s="44" t="str">
        <f>IF(AND('Mapa final'!$AA$34="Baja",'Mapa final'!$AC$34="Mayor"),CONCATENATE("R5C",'Mapa final'!$Q$34),"")</f>
        <v/>
      </c>
      <c r="AF40" s="44" t="str">
        <f>IF(AND('Mapa final'!$AA$35="Baja",'Mapa final'!$AC$35="Mayor"),CONCATENATE("R5C",'Mapa final'!$Q$35),"")</f>
        <v/>
      </c>
      <c r="AG40" s="40" t="str">
        <f>IF(AND('Mapa final'!$AA$36="Baja",'Mapa final'!$AC$36="Mayor"),CONCATENATE("R5C",'Mapa final'!$Q$36),"")</f>
        <v/>
      </c>
      <c r="AH40" s="41" t="str">
        <f>IF(AND('Mapa final'!$AA$31="Baja",'Mapa final'!$AC$31="Catastrófico"),CONCATENATE("R5C",'Mapa final'!$Q$31),"")</f>
        <v/>
      </c>
      <c r="AI40" s="42" t="str">
        <f>IF(AND('Mapa final'!$AA$32="Baja",'Mapa final'!$AC$32="Catastrófico"),CONCATENATE("R5C",'Mapa final'!$Q$32),"")</f>
        <v/>
      </c>
      <c r="AJ40" s="42" t="str">
        <f>IF(AND('Mapa final'!$AA$33="Baja",'Mapa final'!$AC$33="Catastrófico"),CONCATENATE("R5C",'Mapa final'!$Q$33),"")</f>
        <v/>
      </c>
      <c r="AK40" s="42" t="str">
        <f>IF(AND('Mapa final'!$AA$34="Baja",'Mapa final'!$AC$34="Catastrófico"),CONCATENATE("R5C",'Mapa final'!$Q$34),"")</f>
        <v/>
      </c>
      <c r="AL40" s="42" t="str">
        <f>IF(AND('Mapa final'!$AA$35="Baja",'Mapa final'!$AC$35="Catastrófico"),CONCATENATE("R5C",'Mapa final'!$Q$35),"")</f>
        <v/>
      </c>
      <c r="AM40" s="43" t="str">
        <f>IF(AND('Mapa final'!$AA$36="Baja",'Mapa final'!$AC$36="Catastrófico"),CONCATENATE("R5C",'Mapa final'!$Q$36),"")</f>
        <v/>
      </c>
      <c r="AN40" s="70"/>
      <c r="AO40" s="354"/>
      <c r="AP40" s="355"/>
      <c r="AQ40" s="355"/>
      <c r="AR40" s="355"/>
      <c r="AS40" s="355"/>
      <c r="AT40" s="356"/>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81"/>
      <c r="C41" s="281"/>
      <c r="D41" s="282"/>
      <c r="E41" s="322"/>
      <c r="F41" s="323"/>
      <c r="G41" s="323"/>
      <c r="H41" s="323"/>
      <c r="I41" s="339"/>
      <c r="J41" s="63" t="str">
        <f>IF(AND('Mapa final'!$AA$37="Baja",'Mapa final'!$AC$37="Leve"),CONCATENATE("R6C",'Mapa final'!$Q$37),"")</f>
        <v/>
      </c>
      <c r="K41" s="64" t="str">
        <f>IF(AND('Mapa final'!$AA$38="Baja",'Mapa final'!$AC$38="Leve"),CONCATENATE("R6C",'Mapa final'!$Q$38),"")</f>
        <v/>
      </c>
      <c r="L41" s="64" t="str">
        <f>IF(AND('Mapa final'!$AA$39="Baja",'Mapa final'!$AC$39="Leve"),CONCATENATE("R6C",'Mapa final'!$Q$39),"")</f>
        <v/>
      </c>
      <c r="M41" s="64" t="str">
        <f>IF(AND('Mapa final'!$AA$40="Baja",'Mapa final'!$AC$40="Leve"),CONCATENATE("R6C",'Mapa final'!$Q$40),"")</f>
        <v/>
      </c>
      <c r="N41" s="64" t="str">
        <f>IF(AND('Mapa final'!$AA$41="Baja",'Mapa final'!$AC$41="Leve"),CONCATENATE("R6C",'Mapa final'!$Q$41),"")</f>
        <v/>
      </c>
      <c r="O41" s="65" t="str">
        <f>IF(AND('Mapa final'!$AA$42="Baja",'Mapa final'!$AC$42="Leve"),CONCATENATE("R6C",'Mapa final'!$Q$42),"")</f>
        <v/>
      </c>
      <c r="P41" s="54" t="str">
        <f>IF(AND('Mapa final'!$AA$37="Baja",'Mapa final'!$AC$37="Menor"),CONCATENATE("R6C",'Mapa final'!$Q$37),"")</f>
        <v/>
      </c>
      <c r="Q41" s="55" t="str">
        <f>IF(AND('Mapa final'!$AA$38="Baja",'Mapa final'!$AC$38="Menor"),CONCATENATE("R6C",'Mapa final'!$Q$38),"")</f>
        <v/>
      </c>
      <c r="R41" s="55" t="str">
        <f>IF(AND('Mapa final'!$AA$39="Baja",'Mapa final'!$AC$39="Menor"),CONCATENATE("R6C",'Mapa final'!$Q$39),"")</f>
        <v/>
      </c>
      <c r="S41" s="55" t="str">
        <f>IF(AND('Mapa final'!$AA$40="Baja",'Mapa final'!$AC$40="Menor"),CONCATENATE("R6C",'Mapa final'!$Q$40),"")</f>
        <v/>
      </c>
      <c r="T41" s="55" t="str">
        <f>IF(AND('Mapa final'!$AA$41="Baja",'Mapa final'!$AC$41="Menor"),CONCATENATE("R6C",'Mapa final'!$Q$41),"")</f>
        <v/>
      </c>
      <c r="U41" s="56" t="str">
        <f>IF(AND('Mapa final'!$AA$42="Baja",'Mapa final'!$AC$42="Menor"),CONCATENATE("R6C",'Mapa final'!$Q$42),"")</f>
        <v/>
      </c>
      <c r="V41" s="54" t="str">
        <f>IF(AND('Mapa final'!$AA$37="Baja",'Mapa final'!$AC$37="Moderado"),CONCATENATE("R6C",'Mapa final'!$Q$37),"")</f>
        <v/>
      </c>
      <c r="W41" s="55" t="str">
        <f>IF(AND('Mapa final'!$AA$38="Baja",'Mapa final'!$AC$38="Moderado"),CONCATENATE("R6C",'Mapa final'!$Q$38),"")</f>
        <v/>
      </c>
      <c r="X41" s="55" t="str">
        <f>IF(AND('Mapa final'!$AA$39="Baja",'Mapa final'!$AC$39="Moderado"),CONCATENATE("R6C",'Mapa final'!$Q$39),"")</f>
        <v/>
      </c>
      <c r="Y41" s="55" t="str">
        <f>IF(AND('Mapa final'!$AA$40="Baja",'Mapa final'!$AC$40="Moderado"),CONCATENATE("R6C",'Mapa final'!$Q$40),"")</f>
        <v/>
      </c>
      <c r="Z41" s="55" t="str">
        <f>IF(AND('Mapa final'!$AA$41="Baja",'Mapa final'!$AC$41="Moderado"),CONCATENATE("R6C",'Mapa final'!$Q$41),"")</f>
        <v/>
      </c>
      <c r="AA41" s="56" t="str">
        <f>IF(AND('Mapa final'!$AA$42="Baja",'Mapa final'!$AC$42="Moderado"),CONCATENATE("R6C",'Mapa final'!$Q$42),"")</f>
        <v/>
      </c>
      <c r="AB41" s="38" t="str">
        <f>IF(AND('Mapa final'!$AA$37="Baja",'Mapa final'!$AC$37="Mayor"),CONCATENATE("R6C",'Mapa final'!$Q$37),"")</f>
        <v/>
      </c>
      <c r="AC41" s="39" t="str">
        <f>IF(AND('Mapa final'!$AA$38="Baja",'Mapa final'!$AC$38="Mayor"),CONCATENATE("R6C",'Mapa final'!$Q$38),"")</f>
        <v/>
      </c>
      <c r="AD41" s="44" t="str">
        <f>IF(AND('Mapa final'!$AA$39="Baja",'Mapa final'!$AC$39="Mayor"),CONCATENATE("R6C",'Mapa final'!$Q$39),"")</f>
        <v/>
      </c>
      <c r="AE41" s="44" t="str">
        <f>IF(AND('Mapa final'!$AA$40="Baja",'Mapa final'!$AC$40="Mayor"),CONCATENATE("R6C",'Mapa final'!$Q$40),"")</f>
        <v/>
      </c>
      <c r="AF41" s="44" t="str">
        <f>IF(AND('Mapa final'!$AA$41="Baja",'Mapa final'!$AC$41="Mayor"),CONCATENATE("R6C",'Mapa final'!$Q$41),"")</f>
        <v/>
      </c>
      <c r="AG41" s="40" t="str">
        <f>IF(AND('Mapa final'!$AA$42="Baja",'Mapa final'!$AC$42="Mayor"),CONCATENATE("R6C",'Mapa final'!$Q$42),"")</f>
        <v/>
      </c>
      <c r="AH41" s="41" t="str">
        <f>IF(AND('Mapa final'!$AA$37="Baja",'Mapa final'!$AC$37="Catastrófico"),CONCATENATE("R6C",'Mapa final'!$Q$37),"")</f>
        <v/>
      </c>
      <c r="AI41" s="42" t="str">
        <f>IF(AND('Mapa final'!$AA$38="Baja",'Mapa final'!$AC$38="Catastrófico"),CONCATENATE("R6C",'Mapa final'!$Q$38),"")</f>
        <v/>
      </c>
      <c r="AJ41" s="42" t="str">
        <f>IF(AND('Mapa final'!$AA$39="Baja",'Mapa final'!$AC$39="Catastrófico"),CONCATENATE("R6C",'Mapa final'!$Q$39),"")</f>
        <v/>
      </c>
      <c r="AK41" s="42" t="str">
        <f>IF(AND('Mapa final'!$AA$40="Baja",'Mapa final'!$AC$40="Catastrófico"),CONCATENATE("R6C",'Mapa final'!$Q$40),"")</f>
        <v/>
      </c>
      <c r="AL41" s="42" t="str">
        <f>IF(AND('Mapa final'!$AA$41="Baja",'Mapa final'!$AC$41="Catastrófico"),CONCATENATE("R6C",'Mapa final'!$Q$41),"")</f>
        <v/>
      </c>
      <c r="AM41" s="43" t="str">
        <f>IF(AND('Mapa final'!$AA$42="Baja",'Mapa final'!$AC$42="Catastrófico"),CONCATENATE("R6C",'Mapa final'!$Q$42),"")</f>
        <v/>
      </c>
      <c r="AN41" s="70"/>
      <c r="AO41" s="354"/>
      <c r="AP41" s="355"/>
      <c r="AQ41" s="355"/>
      <c r="AR41" s="355"/>
      <c r="AS41" s="355"/>
      <c r="AT41" s="356"/>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81"/>
      <c r="C42" s="281"/>
      <c r="D42" s="282"/>
      <c r="E42" s="322"/>
      <c r="F42" s="323"/>
      <c r="G42" s="323"/>
      <c r="H42" s="323"/>
      <c r="I42" s="339"/>
      <c r="J42" s="63" t="str">
        <f>IF(AND('Mapa final'!$AA$43="Baja",'Mapa final'!$AC$43="Leve"),CONCATENATE("R7C",'Mapa final'!$Q$43),"")</f>
        <v/>
      </c>
      <c r="K42" s="64" t="str">
        <f>IF(AND('Mapa final'!$AA$44="Baja",'Mapa final'!$AC$44="Leve"),CONCATENATE("R7C",'Mapa final'!$Q$44),"")</f>
        <v/>
      </c>
      <c r="L42" s="64" t="str">
        <f>IF(AND('Mapa final'!$AA$45="Baja",'Mapa final'!$AC$45="Leve"),CONCATENATE("R7C",'Mapa final'!$Q$45),"")</f>
        <v/>
      </c>
      <c r="M42" s="64" t="str">
        <f>IF(AND('Mapa final'!$AA$46="Baja",'Mapa final'!$AC$46="Leve"),CONCATENATE("R7C",'Mapa final'!$Q$46),"")</f>
        <v/>
      </c>
      <c r="N42" s="64" t="str">
        <f>IF(AND('Mapa final'!$AA$47="Baja",'Mapa final'!$AC$47="Leve"),CONCATENATE("R7C",'Mapa final'!$Q$47),"")</f>
        <v/>
      </c>
      <c r="O42" s="65" t="str">
        <f>IF(AND('Mapa final'!$AA$48="Baja",'Mapa final'!$AC$48="Leve"),CONCATENATE("R7C",'Mapa final'!$Q$48),"")</f>
        <v/>
      </c>
      <c r="P42" s="54" t="str">
        <f>IF(AND('Mapa final'!$AA$43="Baja",'Mapa final'!$AC$43="Menor"),CONCATENATE("R7C",'Mapa final'!$Q$43),"")</f>
        <v/>
      </c>
      <c r="Q42" s="55" t="str">
        <f>IF(AND('Mapa final'!$AA$44="Baja",'Mapa final'!$AC$44="Menor"),CONCATENATE("R7C",'Mapa final'!$Q$44),"")</f>
        <v/>
      </c>
      <c r="R42" s="55" t="str">
        <f>IF(AND('Mapa final'!$AA$45="Baja",'Mapa final'!$AC$45="Menor"),CONCATENATE("R7C",'Mapa final'!$Q$45),"")</f>
        <v/>
      </c>
      <c r="S42" s="55" t="str">
        <f>IF(AND('Mapa final'!$AA$46="Baja",'Mapa final'!$AC$46="Menor"),CONCATENATE("R7C",'Mapa final'!$Q$46),"")</f>
        <v/>
      </c>
      <c r="T42" s="55" t="str">
        <f>IF(AND('Mapa final'!$AA$47="Baja",'Mapa final'!$AC$47="Menor"),CONCATENATE("R7C",'Mapa final'!$Q$47),"")</f>
        <v/>
      </c>
      <c r="U42" s="56" t="str">
        <f>IF(AND('Mapa final'!$AA$48="Baja",'Mapa final'!$AC$48="Menor"),CONCATENATE("R7C",'Mapa final'!$Q$48),"")</f>
        <v/>
      </c>
      <c r="V42" s="54" t="str">
        <f>IF(AND('Mapa final'!$AA$43="Baja",'Mapa final'!$AC$43="Moderado"),CONCATENATE("R7C",'Mapa final'!$Q$43),"")</f>
        <v/>
      </c>
      <c r="W42" s="55" t="str">
        <f>IF(AND('Mapa final'!$AA$44="Baja",'Mapa final'!$AC$44="Moderado"),CONCATENATE("R7C",'Mapa final'!$Q$44),"")</f>
        <v/>
      </c>
      <c r="X42" s="55" t="str">
        <f>IF(AND('Mapa final'!$AA$45="Baja",'Mapa final'!$AC$45="Moderado"),CONCATENATE("R7C",'Mapa final'!$Q$45),"")</f>
        <v/>
      </c>
      <c r="Y42" s="55" t="str">
        <f>IF(AND('Mapa final'!$AA$46="Baja",'Mapa final'!$AC$46="Moderado"),CONCATENATE("R7C",'Mapa final'!$Q$46),"")</f>
        <v/>
      </c>
      <c r="Z42" s="55" t="str">
        <f>IF(AND('Mapa final'!$AA$47="Baja",'Mapa final'!$AC$47="Moderado"),CONCATENATE("R7C",'Mapa final'!$Q$47),"")</f>
        <v/>
      </c>
      <c r="AA42" s="56" t="str">
        <f>IF(AND('Mapa final'!$AA$48="Baja",'Mapa final'!$AC$48="Moderado"),CONCATENATE("R7C",'Mapa final'!$Q$48),"")</f>
        <v/>
      </c>
      <c r="AB42" s="38" t="str">
        <f>IF(AND('Mapa final'!$AA$43="Baja",'Mapa final'!$AC$43="Mayor"),CONCATENATE("R7C",'Mapa final'!$Q$43),"")</f>
        <v/>
      </c>
      <c r="AC42" s="39" t="str">
        <f>IF(AND('Mapa final'!$AA$44="Baja",'Mapa final'!$AC$44="Mayor"),CONCATENATE("R7C",'Mapa final'!$Q$44),"")</f>
        <v/>
      </c>
      <c r="AD42" s="44" t="str">
        <f>IF(AND('Mapa final'!$AA$45="Baja",'Mapa final'!$AC$45="Mayor"),CONCATENATE("R7C",'Mapa final'!$Q$45),"")</f>
        <v/>
      </c>
      <c r="AE42" s="44" t="str">
        <f>IF(AND('Mapa final'!$AA$46="Baja",'Mapa final'!$AC$46="Mayor"),CONCATENATE("R7C",'Mapa final'!$Q$46),"")</f>
        <v/>
      </c>
      <c r="AF42" s="44" t="str">
        <f>IF(AND('Mapa final'!$AA$47="Baja",'Mapa final'!$AC$47="Mayor"),CONCATENATE("R7C",'Mapa final'!$Q$47),"")</f>
        <v/>
      </c>
      <c r="AG42" s="40" t="str">
        <f>IF(AND('Mapa final'!$AA$48="Baja",'Mapa final'!$AC$48="Mayor"),CONCATENATE("R7C",'Mapa final'!$Q$48),"")</f>
        <v/>
      </c>
      <c r="AH42" s="41" t="str">
        <f>IF(AND('Mapa final'!$AA$43="Baja",'Mapa final'!$AC$43="Catastrófico"),CONCATENATE("R7C",'Mapa final'!$Q$43),"")</f>
        <v/>
      </c>
      <c r="AI42" s="42" t="str">
        <f>IF(AND('Mapa final'!$AA$44="Baja",'Mapa final'!$AC$44="Catastrófico"),CONCATENATE("R7C",'Mapa final'!$Q$44),"")</f>
        <v/>
      </c>
      <c r="AJ42" s="42" t="str">
        <f>IF(AND('Mapa final'!$AA$45="Baja",'Mapa final'!$AC$45="Catastrófico"),CONCATENATE("R7C",'Mapa final'!$Q$45),"")</f>
        <v/>
      </c>
      <c r="AK42" s="42" t="str">
        <f>IF(AND('Mapa final'!$AA$46="Baja",'Mapa final'!$AC$46="Catastrófico"),CONCATENATE("R7C",'Mapa final'!$Q$46),"")</f>
        <v/>
      </c>
      <c r="AL42" s="42" t="str">
        <f>IF(AND('Mapa final'!$AA$47="Baja",'Mapa final'!$AC$47="Catastrófico"),CONCATENATE("R7C",'Mapa final'!$Q$47),"")</f>
        <v/>
      </c>
      <c r="AM42" s="43" t="str">
        <f>IF(AND('Mapa final'!$AA$48="Baja",'Mapa final'!$AC$48="Catastrófico"),CONCATENATE("R7C",'Mapa final'!$Q$48),"")</f>
        <v/>
      </c>
      <c r="AN42" s="70"/>
      <c r="AO42" s="354"/>
      <c r="AP42" s="355"/>
      <c r="AQ42" s="355"/>
      <c r="AR42" s="355"/>
      <c r="AS42" s="355"/>
      <c r="AT42" s="356"/>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81"/>
      <c r="C43" s="281"/>
      <c r="D43" s="282"/>
      <c r="E43" s="322"/>
      <c r="F43" s="323"/>
      <c r="G43" s="323"/>
      <c r="H43" s="323"/>
      <c r="I43" s="339"/>
      <c r="J43" s="63" t="str">
        <f>IF(AND('Mapa final'!$AA$49="Baja",'Mapa final'!$AC$49="Leve"),CONCATENATE("R8C",'Mapa final'!$Q$49),"")</f>
        <v/>
      </c>
      <c r="K43" s="64" t="str">
        <f>IF(AND('Mapa final'!$AA$50="Baja",'Mapa final'!$AC$50="Leve"),CONCATENATE("R8C",'Mapa final'!$Q$50),"")</f>
        <v/>
      </c>
      <c r="L43" s="64" t="str">
        <f>IF(AND('Mapa final'!$AA$51="Baja",'Mapa final'!$AC$51="Leve"),CONCATENATE("R8C",'Mapa final'!$Q$51),"")</f>
        <v/>
      </c>
      <c r="M43" s="64" t="str">
        <f>IF(AND('Mapa final'!$AA$52="Baja",'Mapa final'!$AC$52="Leve"),CONCATENATE("R8C",'Mapa final'!$Q$52),"")</f>
        <v/>
      </c>
      <c r="N43" s="64" t="str">
        <f>IF(AND('Mapa final'!$AA$53="Baja",'Mapa final'!$AC$53="Leve"),CONCATENATE("R8C",'Mapa final'!$Q$53),"")</f>
        <v/>
      </c>
      <c r="O43" s="65" t="str">
        <f>IF(AND('Mapa final'!$AA$54="Baja",'Mapa final'!$AC$54="Leve"),CONCATENATE("R8C",'Mapa final'!$Q$54),"")</f>
        <v/>
      </c>
      <c r="P43" s="54" t="str">
        <f>IF(AND('Mapa final'!$AA$49="Baja",'Mapa final'!$AC$49="Menor"),CONCATENATE("R8C",'Mapa final'!$Q$49),"")</f>
        <v/>
      </c>
      <c r="Q43" s="55" t="str">
        <f>IF(AND('Mapa final'!$AA$50="Baja",'Mapa final'!$AC$50="Menor"),CONCATENATE("R8C",'Mapa final'!$Q$50),"")</f>
        <v/>
      </c>
      <c r="R43" s="55" t="str">
        <f>IF(AND('Mapa final'!$AA$51="Baja",'Mapa final'!$AC$51="Menor"),CONCATENATE("R8C",'Mapa final'!$Q$51),"")</f>
        <v/>
      </c>
      <c r="S43" s="55" t="str">
        <f>IF(AND('Mapa final'!$AA$52="Baja",'Mapa final'!$AC$52="Menor"),CONCATENATE("R8C",'Mapa final'!$Q$52),"")</f>
        <v/>
      </c>
      <c r="T43" s="55" t="str">
        <f>IF(AND('Mapa final'!$AA$53="Baja",'Mapa final'!$AC$53="Menor"),CONCATENATE("R8C",'Mapa final'!$Q$53),"")</f>
        <v/>
      </c>
      <c r="U43" s="56" t="str">
        <f>IF(AND('Mapa final'!$AA$54="Baja",'Mapa final'!$AC$54="Menor"),CONCATENATE("R8C",'Mapa final'!$Q$54),"")</f>
        <v/>
      </c>
      <c r="V43" s="54" t="str">
        <f>IF(AND('Mapa final'!$AA$49="Baja",'Mapa final'!$AC$49="Moderado"),CONCATENATE("R8C",'Mapa final'!$Q$49),"")</f>
        <v/>
      </c>
      <c r="W43" s="55" t="str">
        <f>IF(AND('Mapa final'!$AA$50="Baja",'Mapa final'!$AC$50="Moderado"),CONCATENATE("R8C",'Mapa final'!$Q$50),"")</f>
        <v/>
      </c>
      <c r="X43" s="55" t="str">
        <f>IF(AND('Mapa final'!$AA$51="Baja",'Mapa final'!$AC$51="Moderado"),CONCATENATE("R8C",'Mapa final'!$Q$51),"")</f>
        <v/>
      </c>
      <c r="Y43" s="55" t="str">
        <f>IF(AND('Mapa final'!$AA$52="Baja",'Mapa final'!$AC$52="Moderado"),CONCATENATE("R8C",'Mapa final'!$Q$52),"")</f>
        <v/>
      </c>
      <c r="Z43" s="55" t="str">
        <f>IF(AND('Mapa final'!$AA$53="Baja",'Mapa final'!$AC$53="Moderado"),CONCATENATE("R8C",'Mapa final'!$Q$53),"")</f>
        <v/>
      </c>
      <c r="AA43" s="56" t="str">
        <f>IF(AND('Mapa final'!$AA$54="Baja",'Mapa final'!$AC$54="Moderado"),CONCATENATE("R8C",'Mapa final'!$Q$54),"")</f>
        <v/>
      </c>
      <c r="AB43" s="38" t="str">
        <f>IF(AND('Mapa final'!$AA$49="Baja",'Mapa final'!$AC$49="Mayor"),CONCATENATE("R8C",'Mapa final'!$Q$49),"")</f>
        <v/>
      </c>
      <c r="AC43" s="39" t="str">
        <f>IF(AND('Mapa final'!$AA$50="Baja",'Mapa final'!$AC$50="Mayor"),CONCATENATE("R8C",'Mapa final'!$Q$50),"")</f>
        <v/>
      </c>
      <c r="AD43" s="44" t="str">
        <f>IF(AND('Mapa final'!$AA$51="Baja",'Mapa final'!$AC$51="Mayor"),CONCATENATE("R8C",'Mapa final'!$Q$51),"")</f>
        <v/>
      </c>
      <c r="AE43" s="44" t="str">
        <f>IF(AND('Mapa final'!$AA$52="Baja",'Mapa final'!$AC$52="Mayor"),CONCATENATE("R8C",'Mapa final'!$Q$52),"")</f>
        <v/>
      </c>
      <c r="AF43" s="44" t="str">
        <f>IF(AND('Mapa final'!$AA$53="Baja",'Mapa final'!$AC$53="Mayor"),CONCATENATE("R8C",'Mapa final'!$Q$53),"")</f>
        <v/>
      </c>
      <c r="AG43" s="40" t="str">
        <f>IF(AND('Mapa final'!$AA$54="Baja",'Mapa final'!$AC$54="Mayor"),CONCATENATE("R8C",'Mapa final'!$Q$54),"")</f>
        <v/>
      </c>
      <c r="AH43" s="41" t="str">
        <f>IF(AND('Mapa final'!$AA$49="Baja",'Mapa final'!$AC$49="Catastrófico"),CONCATENATE("R8C",'Mapa final'!$Q$49),"")</f>
        <v/>
      </c>
      <c r="AI43" s="42" t="str">
        <f>IF(AND('Mapa final'!$AA$50="Baja",'Mapa final'!$AC$50="Catastrófico"),CONCATENATE("R8C",'Mapa final'!$Q$50),"")</f>
        <v/>
      </c>
      <c r="AJ43" s="42" t="str">
        <f>IF(AND('Mapa final'!$AA$51="Baja",'Mapa final'!$AC$51="Catastrófico"),CONCATENATE("R8C",'Mapa final'!$Q$51),"")</f>
        <v/>
      </c>
      <c r="AK43" s="42" t="str">
        <f>IF(AND('Mapa final'!$AA$52="Baja",'Mapa final'!$AC$52="Catastrófico"),CONCATENATE("R8C",'Mapa final'!$Q$52),"")</f>
        <v/>
      </c>
      <c r="AL43" s="42" t="str">
        <f>IF(AND('Mapa final'!$AA$53="Baja",'Mapa final'!$AC$53="Catastrófico"),CONCATENATE("R8C",'Mapa final'!$Q$53),"")</f>
        <v/>
      </c>
      <c r="AM43" s="43" t="str">
        <f>IF(AND('Mapa final'!$AA$54="Baja",'Mapa final'!$AC$54="Catastrófico"),CONCATENATE("R8C",'Mapa final'!$Q$54),"")</f>
        <v/>
      </c>
      <c r="AN43" s="70"/>
      <c r="AO43" s="354"/>
      <c r="AP43" s="355"/>
      <c r="AQ43" s="355"/>
      <c r="AR43" s="355"/>
      <c r="AS43" s="355"/>
      <c r="AT43" s="356"/>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81"/>
      <c r="C44" s="281"/>
      <c r="D44" s="282"/>
      <c r="E44" s="322"/>
      <c r="F44" s="323"/>
      <c r="G44" s="323"/>
      <c r="H44" s="323"/>
      <c r="I44" s="339"/>
      <c r="J44" s="63" t="str">
        <f>IF(AND('Mapa final'!$AA$55="Baja",'Mapa final'!$AC$55="Leve"),CONCATENATE("R9C",'Mapa final'!$Q$55),"")</f>
        <v/>
      </c>
      <c r="K44" s="64" t="str">
        <f>IF(AND('Mapa final'!$AA$56="Baja",'Mapa final'!$AC$56="Leve"),CONCATENATE("R9C",'Mapa final'!$Q$56),"")</f>
        <v/>
      </c>
      <c r="L44" s="64" t="str">
        <f>IF(AND('Mapa final'!$AA$57="Baja",'Mapa final'!$AC$57="Leve"),CONCATENATE("R9C",'Mapa final'!$Q$57),"")</f>
        <v/>
      </c>
      <c r="M44" s="64" t="str">
        <f>IF(AND('Mapa final'!$AA$58="Baja",'Mapa final'!$AC$58="Leve"),CONCATENATE("R9C",'Mapa final'!$Q$58),"")</f>
        <v/>
      </c>
      <c r="N44" s="64" t="str">
        <f>IF(AND('Mapa final'!$AA$59="Baja",'Mapa final'!$AC$59="Leve"),CONCATENATE("R9C",'Mapa final'!$Q$59),"")</f>
        <v/>
      </c>
      <c r="O44" s="65" t="str">
        <f>IF(AND('Mapa final'!$AA$60="Baja",'Mapa final'!$AC$60="Leve"),CONCATENATE("R9C",'Mapa final'!$Q$60),"")</f>
        <v/>
      </c>
      <c r="P44" s="54" t="str">
        <f>IF(AND('Mapa final'!$AA$55="Baja",'Mapa final'!$AC$55="Menor"),CONCATENATE("R9C",'Mapa final'!$Q$55),"")</f>
        <v/>
      </c>
      <c r="Q44" s="55" t="str">
        <f>IF(AND('Mapa final'!$AA$56="Baja",'Mapa final'!$AC$56="Menor"),CONCATENATE("R9C",'Mapa final'!$Q$56),"")</f>
        <v/>
      </c>
      <c r="R44" s="55" t="str">
        <f>IF(AND('Mapa final'!$AA$57="Baja",'Mapa final'!$AC$57="Menor"),CONCATENATE("R9C",'Mapa final'!$Q$57),"")</f>
        <v/>
      </c>
      <c r="S44" s="55" t="str">
        <f>IF(AND('Mapa final'!$AA$58="Baja",'Mapa final'!$AC$58="Menor"),CONCATENATE("R9C",'Mapa final'!$Q$58),"")</f>
        <v/>
      </c>
      <c r="T44" s="55" t="str">
        <f>IF(AND('Mapa final'!$AA$59="Baja",'Mapa final'!$AC$59="Menor"),CONCATENATE("R9C",'Mapa final'!$Q$59),"")</f>
        <v/>
      </c>
      <c r="U44" s="56" t="str">
        <f>IF(AND('Mapa final'!$AA$60="Baja",'Mapa final'!$AC$60="Menor"),CONCATENATE("R9C",'Mapa final'!$Q$60),"")</f>
        <v/>
      </c>
      <c r="V44" s="54" t="str">
        <f>IF(AND('Mapa final'!$AA$55="Baja",'Mapa final'!$AC$55="Moderado"),CONCATENATE("R9C",'Mapa final'!$Q$55),"")</f>
        <v/>
      </c>
      <c r="W44" s="55" t="str">
        <f>IF(AND('Mapa final'!$AA$56="Baja",'Mapa final'!$AC$56="Moderado"),CONCATENATE("R9C",'Mapa final'!$Q$56),"")</f>
        <v/>
      </c>
      <c r="X44" s="55" t="str">
        <f>IF(AND('Mapa final'!$AA$57="Baja",'Mapa final'!$AC$57="Moderado"),CONCATENATE("R9C",'Mapa final'!$Q$57),"")</f>
        <v/>
      </c>
      <c r="Y44" s="55" t="str">
        <f>IF(AND('Mapa final'!$AA$58="Baja",'Mapa final'!$AC$58="Moderado"),CONCATENATE("R9C",'Mapa final'!$Q$58),"")</f>
        <v/>
      </c>
      <c r="Z44" s="55" t="str">
        <f>IF(AND('Mapa final'!$AA$59="Baja",'Mapa final'!$AC$59="Moderado"),CONCATENATE("R9C",'Mapa final'!$Q$59),"")</f>
        <v/>
      </c>
      <c r="AA44" s="56" t="str">
        <f>IF(AND('Mapa final'!$AA$60="Baja",'Mapa final'!$AC$60="Moderado"),CONCATENATE("R9C",'Mapa final'!$Q$60),"")</f>
        <v/>
      </c>
      <c r="AB44" s="38" t="str">
        <f>IF(AND('Mapa final'!$AA$55="Baja",'Mapa final'!$AC$55="Mayor"),CONCATENATE("R9C",'Mapa final'!$Q$55),"")</f>
        <v/>
      </c>
      <c r="AC44" s="39" t="str">
        <f>IF(AND('Mapa final'!$AA$56="Baja",'Mapa final'!$AC$56="Mayor"),CONCATENATE("R9C",'Mapa final'!$Q$56),"")</f>
        <v/>
      </c>
      <c r="AD44" s="44" t="str">
        <f>IF(AND('Mapa final'!$AA$57="Baja",'Mapa final'!$AC$57="Mayor"),CONCATENATE("R9C",'Mapa final'!$Q$57),"")</f>
        <v/>
      </c>
      <c r="AE44" s="44" t="str">
        <f>IF(AND('Mapa final'!$AA$58="Baja",'Mapa final'!$AC$58="Mayor"),CONCATENATE("R9C",'Mapa final'!$Q$58),"")</f>
        <v/>
      </c>
      <c r="AF44" s="44" t="str">
        <f>IF(AND('Mapa final'!$AA$59="Baja",'Mapa final'!$AC$59="Mayor"),CONCATENATE("R9C",'Mapa final'!$Q$59),"")</f>
        <v/>
      </c>
      <c r="AG44" s="40" t="str">
        <f>IF(AND('Mapa final'!$AA$60="Baja",'Mapa final'!$AC$60="Mayor"),CONCATENATE("R9C",'Mapa final'!$Q$60),"")</f>
        <v/>
      </c>
      <c r="AH44" s="41" t="str">
        <f>IF(AND('Mapa final'!$AA$55="Baja",'Mapa final'!$AC$55="Catastrófico"),CONCATENATE("R9C",'Mapa final'!$Q$55),"")</f>
        <v/>
      </c>
      <c r="AI44" s="42" t="str">
        <f>IF(AND('Mapa final'!$AA$56="Baja",'Mapa final'!$AC$56="Catastrófico"),CONCATENATE("R9C",'Mapa final'!$Q$56),"")</f>
        <v/>
      </c>
      <c r="AJ44" s="42" t="str">
        <f>IF(AND('Mapa final'!$AA$57="Baja",'Mapa final'!$AC$57="Catastrófico"),CONCATENATE("R9C",'Mapa final'!$Q$57),"")</f>
        <v/>
      </c>
      <c r="AK44" s="42" t="str">
        <f>IF(AND('Mapa final'!$AA$58="Baja",'Mapa final'!$AC$58="Catastrófico"),CONCATENATE("R9C",'Mapa final'!$Q$58),"")</f>
        <v/>
      </c>
      <c r="AL44" s="42" t="str">
        <f>IF(AND('Mapa final'!$AA$59="Baja",'Mapa final'!$AC$59="Catastrófico"),CONCATENATE("R9C",'Mapa final'!$Q$59),"")</f>
        <v/>
      </c>
      <c r="AM44" s="43" t="str">
        <f>IF(AND('Mapa final'!$AA$60="Baja",'Mapa final'!$AC$60="Catastrófico"),CONCATENATE("R9C",'Mapa final'!$Q$60),"")</f>
        <v/>
      </c>
      <c r="AN44" s="70"/>
      <c r="AO44" s="354"/>
      <c r="AP44" s="355"/>
      <c r="AQ44" s="355"/>
      <c r="AR44" s="355"/>
      <c r="AS44" s="355"/>
      <c r="AT44" s="356"/>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81"/>
      <c r="C45" s="281"/>
      <c r="D45" s="282"/>
      <c r="E45" s="325"/>
      <c r="F45" s="326"/>
      <c r="G45" s="326"/>
      <c r="H45" s="326"/>
      <c r="I45" s="326"/>
      <c r="J45" s="66" t="str">
        <f>IF(AND('Mapa final'!$AA$61="Baja",'Mapa final'!$AC$61="Leve"),CONCATENATE("R10C",'Mapa final'!$Q$61),"")</f>
        <v/>
      </c>
      <c r="K45" s="67" t="str">
        <f>IF(AND('Mapa final'!$AA$62="Baja",'Mapa final'!$AC$62="Leve"),CONCATENATE("R10C",'Mapa final'!$Q$62),"")</f>
        <v/>
      </c>
      <c r="L45" s="67" t="str">
        <f>IF(AND('Mapa final'!$AA$63="Baja",'Mapa final'!$AC$63="Leve"),CONCATENATE("R10C",'Mapa final'!$Q$63),"")</f>
        <v/>
      </c>
      <c r="M45" s="67" t="str">
        <f>IF(AND('Mapa final'!$AA$64="Baja",'Mapa final'!$AC$64="Leve"),CONCATENATE("R10C",'Mapa final'!$Q$64),"")</f>
        <v/>
      </c>
      <c r="N45" s="67" t="str">
        <f>IF(AND('Mapa final'!$AA$65="Baja",'Mapa final'!$AC$65="Leve"),CONCATENATE("R10C",'Mapa final'!$Q$65),"")</f>
        <v/>
      </c>
      <c r="O45" s="68" t="str">
        <f>IF(AND('Mapa final'!$AA$66="Baja",'Mapa final'!$AC$66="Leve"),CONCATENATE("R10C",'Mapa final'!$Q$66),"")</f>
        <v/>
      </c>
      <c r="P45" s="54" t="str">
        <f>IF(AND('Mapa final'!$AA$61="Baja",'Mapa final'!$AC$61="Menor"),CONCATENATE("R10C",'Mapa final'!$Q$61),"")</f>
        <v/>
      </c>
      <c r="Q45" s="55" t="str">
        <f>IF(AND('Mapa final'!$AA$62="Baja",'Mapa final'!$AC$62="Menor"),CONCATENATE("R10C",'Mapa final'!$Q$62),"")</f>
        <v/>
      </c>
      <c r="R45" s="55" t="str">
        <f>IF(AND('Mapa final'!$AA$63="Baja",'Mapa final'!$AC$63="Menor"),CONCATENATE("R10C",'Mapa final'!$Q$63),"")</f>
        <v/>
      </c>
      <c r="S45" s="55" t="str">
        <f>IF(AND('Mapa final'!$AA$64="Baja",'Mapa final'!$AC$64="Menor"),CONCATENATE("R10C",'Mapa final'!$Q$64),"")</f>
        <v/>
      </c>
      <c r="T45" s="55" t="str">
        <f>IF(AND('Mapa final'!$AA$65="Baja",'Mapa final'!$AC$65="Menor"),CONCATENATE("R10C",'Mapa final'!$Q$65),"")</f>
        <v/>
      </c>
      <c r="U45" s="56" t="str">
        <f>IF(AND('Mapa final'!$AA$66="Baja",'Mapa final'!$AC$66="Menor"),CONCATENATE("R10C",'Mapa final'!$Q$66),"")</f>
        <v/>
      </c>
      <c r="V45" s="57" t="str">
        <f>IF(AND('Mapa final'!$AA$61="Baja",'Mapa final'!$AC$61="Moderado"),CONCATENATE("R10C",'Mapa final'!$Q$61),"")</f>
        <v/>
      </c>
      <c r="W45" s="58" t="str">
        <f>IF(AND('Mapa final'!$AA$62="Baja",'Mapa final'!$AC$62="Moderado"),CONCATENATE("R10C",'Mapa final'!$Q$62),"")</f>
        <v/>
      </c>
      <c r="X45" s="58" t="str">
        <f>IF(AND('Mapa final'!$AA$63="Baja",'Mapa final'!$AC$63="Moderado"),CONCATENATE("R10C",'Mapa final'!$Q$63),"")</f>
        <v/>
      </c>
      <c r="Y45" s="58" t="str">
        <f>IF(AND('Mapa final'!$AA$64="Baja",'Mapa final'!$AC$64="Moderado"),CONCATENATE("R10C",'Mapa final'!$Q$64),"")</f>
        <v/>
      </c>
      <c r="Z45" s="58" t="str">
        <f>IF(AND('Mapa final'!$AA$65="Baja",'Mapa final'!$AC$65="Moderado"),CONCATENATE("R10C",'Mapa final'!$Q$65),"")</f>
        <v/>
      </c>
      <c r="AA45" s="59" t="str">
        <f>IF(AND('Mapa final'!$AA$66="Baja",'Mapa final'!$AC$66="Moderado"),CONCATENATE("R10C",'Mapa final'!$Q$66),"")</f>
        <v/>
      </c>
      <c r="AB45" s="45" t="str">
        <f>IF(AND('Mapa final'!$AA$61="Baja",'Mapa final'!$AC$61="Mayor"),CONCATENATE("R10C",'Mapa final'!$Q$61),"")</f>
        <v/>
      </c>
      <c r="AC45" s="46" t="str">
        <f>IF(AND('Mapa final'!$AA$62="Baja",'Mapa final'!$AC$62="Mayor"),CONCATENATE("R10C",'Mapa final'!$Q$62),"")</f>
        <v/>
      </c>
      <c r="AD45" s="46" t="str">
        <f>IF(AND('Mapa final'!$AA$63="Baja",'Mapa final'!$AC$63="Mayor"),CONCATENATE("R10C",'Mapa final'!$Q$63),"")</f>
        <v/>
      </c>
      <c r="AE45" s="46" t="str">
        <f>IF(AND('Mapa final'!$AA$64="Baja",'Mapa final'!$AC$64="Mayor"),CONCATENATE("R10C",'Mapa final'!$Q$64),"")</f>
        <v/>
      </c>
      <c r="AF45" s="46" t="str">
        <f>IF(AND('Mapa final'!$AA$65="Baja",'Mapa final'!$AC$65="Mayor"),CONCATENATE("R10C",'Mapa final'!$Q$65),"")</f>
        <v/>
      </c>
      <c r="AG45" s="47" t="str">
        <f>IF(AND('Mapa final'!$AA$66="Baja",'Mapa final'!$AC$66="Mayor"),CONCATENATE("R10C",'Mapa final'!$Q$66),"")</f>
        <v/>
      </c>
      <c r="AH45" s="48" t="str">
        <f>IF(AND('Mapa final'!$AA$61="Baja",'Mapa final'!$AC$61="Catastrófico"),CONCATENATE("R10C",'Mapa final'!$Q$61),"")</f>
        <v/>
      </c>
      <c r="AI45" s="49" t="str">
        <f>IF(AND('Mapa final'!$AA$62="Baja",'Mapa final'!$AC$62="Catastrófico"),CONCATENATE("R10C",'Mapa final'!$Q$62),"")</f>
        <v/>
      </c>
      <c r="AJ45" s="49" t="str">
        <f>IF(AND('Mapa final'!$AA$63="Baja",'Mapa final'!$AC$63="Catastrófico"),CONCATENATE("R10C",'Mapa final'!$Q$63),"")</f>
        <v/>
      </c>
      <c r="AK45" s="49" t="str">
        <f>IF(AND('Mapa final'!$AA$64="Baja",'Mapa final'!$AC$64="Catastrófico"),CONCATENATE("R10C",'Mapa final'!$Q$64),"")</f>
        <v/>
      </c>
      <c r="AL45" s="49" t="str">
        <f>IF(AND('Mapa final'!$AA$65="Baja",'Mapa final'!$AC$65="Catastrófico"),CONCATENATE("R10C",'Mapa final'!$Q$65),"")</f>
        <v/>
      </c>
      <c r="AM45" s="50" t="str">
        <f>IF(AND('Mapa final'!$AA$66="Baja",'Mapa final'!$AC$66="Catastrófico"),CONCATENATE("R10C",'Mapa final'!$Q$66),"")</f>
        <v/>
      </c>
      <c r="AN45" s="70"/>
      <c r="AO45" s="357"/>
      <c r="AP45" s="358"/>
      <c r="AQ45" s="358"/>
      <c r="AR45" s="358"/>
      <c r="AS45" s="358"/>
      <c r="AT45" s="359"/>
    </row>
    <row r="46" spans="1:80" ht="46.5" customHeight="1" x14ac:dyDescent="0.35">
      <c r="A46" s="70"/>
      <c r="B46" s="281"/>
      <c r="C46" s="281"/>
      <c r="D46" s="282"/>
      <c r="E46" s="319" t="s">
        <v>109</v>
      </c>
      <c r="F46" s="320"/>
      <c r="G46" s="320"/>
      <c r="H46" s="320"/>
      <c r="I46" s="321"/>
      <c r="J46" s="60" t="str">
        <f>IF(AND('Mapa final'!$AA$7="Muy Baja",'Mapa final'!$AC$7="Leve"),CONCATENATE("R1C",'Mapa final'!$Q$7),"")</f>
        <v/>
      </c>
      <c r="K46" s="61" t="str">
        <f>IF(AND('Mapa final'!$AA$8="Muy Baja",'Mapa final'!$AC$8="Leve"),CONCATENATE("R1C",'Mapa final'!$Q$8),"")</f>
        <v/>
      </c>
      <c r="L46" s="61" t="str">
        <f>IF(AND('Mapa final'!$AA$9="Muy Baja",'Mapa final'!$AC$9="Leve"),CONCATENATE("R1C",'Mapa final'!$Q$9),"")</f>
        <v/>
      </c>
      <c r="M46" s="61" t="str">
        <f>IF(AND('Mapa final'!$AA$10="Muy Baja",'Mapa final'!$AC$10="Leve"),CONCATENATE("R1C",'Mapa final'!$Q$10),"")</f>
        <v/>
      </c>
      <c r="N46" s="61" t="str">
        <f>IF(AND('Mapa final'!$AA$11="Muy Baja",'Mapa final'!$AC$11="Leve"),CONCATENATE("R1C",'Mapa final'!$Q$11),"")</f>
        <v/>
      </c>
      <c r="O46" s="62" t="str">
        <f>IF(AND('Mapa final'!$AA$12="Muy Baja",'Mapa final'!$AC$12="Leve"),CONCATENATE("R1C",'Mapa final'!$Q$12),"")</f>
        <v/>
      </c>
      <c r="P46" s="60" t="str">
        <f>IF(AND('Mapa final'!$AA$7="Muy Baja",'Mapa final'!$AC$7="Menor"),CONCATENATE("R1C",'Mapa final'!$Q$7),"")</f>
        <v/>
      </c>
      <c r="Q46" s="61" t="str">
        <f>IF(AND('Mapa final'!$AA$8="Muy Baja",'Mapa final'!$AC$8="Menor"),CONCATENATE("R1C",'Mapa final'!$Q$8),"")</f>
        <v/>
      </c>
      <c r="R46" s="61" t="str">
        <f>IF(AND('Mapa final'!$AA$9="Muy Baja",'Mapa final'!$AC$9="Menor"),CONCATENATE("R1C",'Mapa final'!$Q$9),"")</f>
        <v/>
      </c>
      <c r="S46" s="61" t="str">
        <f>IF(AND('Mapa final'!$AA$10="Muy Baja",'Mapa final'!$AC$10="Menor"),CONCATENATE("R1C",'Mapa final'!$Q$10),"")</f>
        <v/>
      </c>
      <c r="T46" s="61" t="str">
        <f>IF(AND('Mapa final'!$AA$11="Muy Baja",'Mapa final'!$AC$11="Menor"),CONCATENATE("R1C",'Mapa final'!$Q$11),"")</f>
        <v/>
      </c>
      <c r="U46" s="62" t="str">
        <f>IF(AND('Mapa final'!$AA$12="Muy Baja",'Mapa final'!$AC$12="Menor"),CONCATENATE("R1C",'Mapa final'!$Q$12),"")</f>
        <v/>
      </c>
      <c r="V46" s="51" t="str">
        <f>IF(AND('Mapa final'!$AA$7="Muy Baja",'Mapa final'!$AC$7="Moderado"),CONCATENATE("R1C",'Mapa final'!$Q$7),"")</f>
        <v/>
      </c>
      <c r="W46" s="69" t="str">
        <f>IF(AND('Mapa final'!$AA$8="Muy Baja",'Mapa final'!$AC$8="Moderado"),CONCATENATE("R1C",'Mapa final'!$Q$8),"")</f>
        <v/>
      </c>
      <c r="X46" s="52" t="str">
        <f>IF(AND('Mapa final'!$AA$9="Muy Baja",'Mapa final'!$AC$9="Moderado"),CONCATENATE("R1C",'Mapa final'!$Q$9),"")</f>
        <v/>
      </c>
      <c r="Y46" s="52" t="str">
        <f>IF(AND('Mapa final'!$AA$10="Muy Baja",'Mapa final'!$AC$10="Moderado"),CONCATENATE("R1C",'Mapa final'!$Q$10),"")</f>
        <v/>
      </c>
      <c r="Z46" s="52" t="str">
        <f>IF(AND('Mapa final'!$AA$11="Muy Baja",'Mapa final'!$AC$11="Moderado"),CONCATENATE("R1C",'Mapa final'!$Q$11),"")</f>
        <v/>
      </c>
      <c r="AA46" s="53" t="str">
        <f>IF(AND('Mapa final'!$AA$12="Muy Baja",'Mapa final'!$AC$12="Moderado"),CONCATENATE("R1C",'Mapa final'!$Q$12),"")</f>
        <v/>
      </c>
      <c r="AB46" s="32" t="str">
        <f>IF(AND('Mapa final'!$AA$7="Muy Baja",'Mapa final'!$AC$7="Mayor"),CONCATENATE("R1C",'Mapa final'!$Q$7),"")</f>
        <v/>
      </c>
      <c r="AC46" s="33" t="str">
        <f>IF(AND('Mapa final'!$AA$8="Muy Baja",'Mapa final'!$AC$8="Mayor"),CONCATENATE("R1C",'Mapa final'!$Q$8),"")</f>
        <v/>
      </c>
      <c r="AD46" s="33" t="str">
        <f>IF(AND('Mapa final'!$AA$9="Muy Baja",'Mapa final'!$AC$9="Mayor"),CONCATENATE("R1C",'Mapa final'!$Q$9),"")</f>
        <v/>
      </c>
      <c r="AE46" s="33" t="str">
        <f>IF(AND('Mapa final'!$AA$10="Muy Baja",'Mapa final'!$AC$10="Mayor"),CONCATENATE("R1C",'Mapa final'!$Q$10),"")</f>
        <v/>
      </c>
      <c r="AF46" s="33" t="str">
        <f>IF(AND('Mapa final'!$AA$11="Muy Baja",'Mapa final'!$AC$11="Mayor"),CONCATENATE("R1C",'Mapa final'!$Q$11),"")</f>
        <v/>
      </c>
      <c r="AG46" s="34" t="str">
        <f>IF(AND('Mapa final'!$AA$12="Muy Baja",'Mapa final'!$AC$12="Mayor"),CONCATENATE("R1C",'Mapa final'!$Q$12),"")</f>
        <v/>
      </c>
      <c r="AH46" s="35" t="str">
        <f>IF(AND('Mapa final'!$AA$7="Muy Baja",'Mapa final'!$AC$7="Catastrófico"),CONCATENATE("R1C",'Mapa final'!$Q$7),"")</f>
        <v/>
      </c>
      <c r="AI46" s="36" t="str">
        <f>IF(AND('Mapa final'!$AA$8="Muy Baja",'Mapa final'!$AC$8="Catastrófico"),CONCATENATE("R1C",'Mapa final'!$Q$8),"")</f>
        <v/>
      </c>
      <c r="AJ46" s="36" t="str">
        <f>IF(AND('Mapa final'!$AA$9="Muy Baja",'Mapa final'!$AC$9="Catastrófico"),CONCATENATE("R1C",'Mapa final'!$Q$9),"")</f>
        <v/>
      </c>
      <c r="AK46" s="36" t="str">
        <f>IF(AND('Mapa final'!$AA$10="Muy Baja",'Mapa final'!$AC$10="Catastrófico"),CONCATENATE("R1C",'Mapa final'!$Q$10),"")</f>
        <v/>
      </c>
      <c r="AL46" s="36" t="str">
        <f>IF(AND('Mapa final'!$AA$11="Muy Baja",'Mapa final'!$AC$11="Catastrófico"),CONCATENATE("R1C",'Mapa final'!$Q$11),"")</f>
        <v/>
      </c>
      <c r="AM46" s="37" t="str">
        <f>IF(AND('Mapa final'!$AA$12="Muy Baja",'Mapa final'!$AC$12="Catastrófico"),CONCATENATE("R1C",'Mapa final'!$Q$12),"")</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281"/>
      <c r="C47" s="281"/>
      <c r="D47" s="282"/>
      <c r="E47" s="338"/>
      <c r="F47" s="339"/>
      <c r="G47" s="339"/>
      <c r="H47" s="339"/>
      <c r="I47" s="324"/>
      <c r="J47" s="63" t="str">
        <f ca="1">IF(AND('Mapa final'!$AA$13="Muy Baja",'Mapa final'!$AC$13="Leve"),CONCATENATE("R2C",'Mapa final'!$Q$13),"")</f>
        <v>R2C1</v>
      </c>
      <c r="K47" s="64" t="str">
        <f>IF(AND('Mapa final'!$AA$14="Muy Baja",'Mapa final'!$AC$14="Leve"),CONCATENATE("R2C",'Mapa final'!$Q$14),"")</f>
        <v/>
      </c>
      <c r="L47" s="64" t="str">
        <f>IF(AND('Mapa final'!$AA$15="Muy Baja",'Mapa final'!$AC$15="Leve"),CONCATENATE("R2C",'Mapa final'!$Q$15),"")</f>
        <v/>
      </c>
      <c r="M47" s="64" t="str">
        <f>IF(AND('Mapa final'!$AA$16="Muy Baja",'Mapa final'!$AC$16="Leve"),CONCATENATE("R2C",'Mapa final'!$Q$16),"")</f>
        <v/>
      </c>
      <c r="N47" s="64" t="str">
        <f>IF(AND('Mapa final'!$AA$17="Muy Baja",'Mapa final'!$AC$17="Leve"),CONCATENATE("R2C",'Mapa final'!$Q$17),"")</f>
        <v/>
      </c>
      <c r="O47" s="65" t="str">
        <f>IF(AND('Mapa final'!$AA$18="Muy Baja",'Mapa final'!$AC$18="Leve"),CONCATENATE("R2C",'Mapa final'!$Q$18),"")</f>
        <v/>
      </c>
      <c r="P47" s="63" t="str">
        <f ca="1">IF(AND('Mapa final'!$AA$13="Muy Baja",'Mapa final'!$AC$13="Menor"),CONCATENATE("R2C",'Mapa final'!$Q$13),"")</f>
        <v/>
      </c>
      <c r="Q47" s="64" t="str">
        <f>IF(AND('Mapa final'!$AA$14="Muy Baja",'Mapa final'!$AC$14="Menor"),CONCATENATE("R2C",'Mapa final'!$Q$14),"")</f>
        <v/>
      </c>
      <c r="R47" s="64" t="str">
        <f>IF(AND('Mapa final'!$AA$15="Muy Baja",'Mapa final'!$AC$15="Menor"),CONCATENATE("R2C",'Mapa final'!$Q$15),"")</f>
        <v/>
      </c>
      <c r="S47" s="64" t="str">
        <f>IF(AND('Mapa final'!$AA$16="Muy Baja",'Mapa final'!$AC$16="Menor"),CONCATENATE("R2C",'Mapa final'!$Q$16),"")</f>
        <v/>
      </c>
      <c r="T47" s="64" t="str">
        <f>IF(AND('Mapa final'!$AA$17="Muy Baja",'Mapa final'!$AC$17="Menor"),CONCATENATE("R2C",'Mapa final'!$Q$17),"")</f>
        <v/>
      </c>
      <c r="U47" s="65" t="str">
        <f>IF(AND('Mapa final'!$AA$18="Muy Baja",'Mapa final'!$AC$18="Menor"),CONCATENATE("R2C",'Mapa final'!$Q$18),"")</f>
        <v/>
      </c>
      <c r="V47" s="54" t="str">
        <f ca="1">IF(AND('Mapa final'!$AA$13="Muy Baja",'Mapa final'!$AC$13="Moderado"),CONCATENATE("R2C",'Mapa final'!$Q$13),"")</f>
        <v/>
      </c>
      <c r="W47" s="55" t="str">
        <f>IF(AND('Mapa final'!$AA$14="Muy Baja",'Mapa final'!$AC$14="Moderado"),CONCATENATE("R2C",'Mapa final'!$Q$14),"")</f>
        <v/>
      </c>
      <c r="X47" s="55" t="str">
        <f>IF(AND('Mapa final'!$AA$15="Muy Baja",'Mapa final'!$AC$15="Moderado"),CONCATENATE("R2C",'Mapa final'!$Q$15),"")</f>
        <v/>
      </c>
      <c r="Y47" s="55" t="str">
        <f>IF(AND('Mapa final'!$AA$16="Muy Baja",'Mapa final'!$AC$16="Moderado"),CONCATENATE("R2C",'Mapa final'!$Q$16),"")</f>
        <v/>
      </c>
      <c r="Z47" s="55" t="str">
        <f>IF(AND('Mapa final'!$AA$17="Muy Baja",'Mapa final'!$AC$17="Moderado"),CONCATENATE("R2C",'Mapa final'!$Q$17),"")</f>
        <v/>
      </c>
      <c r="AA47" s="56" t="str">
        <f>IF(AND('Mapa final'!$AA$18="Muy Baja",'Mapa final'!$AC$18="Moderado"),CONCATENATE("R2C",'Mapa final'!$Q$18),"")</f>
        <v/>
      </c>
      <c r="AB47" s="38" t="str">
        <f ca="1">IF(AND('Mapa final'!$AA$13="Muy Baja",'Mapa final'!$AC$13="Mayor"),CONCATENATE("R2C",'Mapa final'!$Q$13),"")</f>
        <v/>
      </c>
      <c r="AC47" s="39" t="str">
        <f>IF(AND('Mapa final'!$AA$14="Muy Baja",'Mapa final'!$AC$14="Mayor"),CONCATENATE("R2C",'Mapa final'!$Q$14),"")</f>
        <v/>
      </c>
      <c r="AD47" s="39" t="str">
        <f>IF(AND('Mapa final'!$AA$15="Muy Baja",'Mapa final'!$AC$15="Mayor"),CONCATENATE("R2C",'Mapa final'!$Q$15),"")</f>
        <v/>
      </c>
      <c r="AE47" s="39" t="str">
        <f>IF(AND('Mapa final'!$AA$16="Muy Baja",'Mapa final'!$AC$16="Mayor"),CONCATENATE("R2C",'Mapa final'!$Q$16),"")</f>
        <v/>
      </c>
      <c r="AF47" s="39" t="str">
        <f>IF(AND('Mapa final'!$AA$17="Muy Baja",'Mapa final'!$AC$17="Mayor"),CONCATENATE("R2C",'Mapa final'!$Q$17),"")</f>
        <v/>
      </c>
      <c r="AG47" s="40" t="str">
        <f>IF(AND('Mapa final'!$AA$18="Muy Baja",'Mapa final'!$AC$18="Mayor"),CONCATENATE("R2C",'Mapa final'!$Q$18),"")</f>
        <v/>
      </c>
      <c r="AH47" s="41" t="str">
        <f ca="1">IF(AND('Mapa final'!$AA$13="Muy Baja",'Mapa final'!$AC$13="Catastrófico"),CONCATENATE("R2C",'Mapa final'!$Q$13),"")</f>
        <v/>
      </c>
      <c r="AI47" s="42" t="str">
        <f>IF(AND('Mapa final'!$AA$14="Muy Baja",'Mapa final'!$AC$14="Catastrófico"),CONCATENATE("R2C",'Mapa final'!$Q$14),"")</f>
        <v/>
      </c>
      <c r="AJ47" s="42" t="str">
        <f>IF(AND('Mapa final'!$AA$15="Muy Baja",'Mapa final'!$AC$15="Catastrófico"),CONCATENATE("R2C",'Mapa final'!$Q$15),"")</f>
        <v/>
      </c>
      <c r="AK47" s="42" t="str">
        <f>IF(AND('Mapa final'!$AA$16="Muy Baja",'Mapa final'!$AC$16="Catastrófico"),CONCATENATE("R2C",'Mapa final'!$Q$16),"")</f>
        <v/>
      </c>
      <c r="AL47" s="42" t="str">
        <f>IF(AND('Mapa final'!$AA$17="Muy Baja",'Mapa final'!$AC$17="Catastrófico"),CONCATENATE("R2C",'Mapa final'!$Q$17),"")</f>
        <v/>
      </c>
      <c r="AM47" s="43" t="str">
        <f>IF(AND('Mapa final'!$AA$18="Muy Baja",'Mapa final'!$AC$18="Catastrófico"),CONCATENATE("R2C",'Mapa final'!$Q$18),"")</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81"/>
      <c r="C48" s="281"/>
      <c r="D48" s="282"/>
      <c r="E48" s="338"/>
      <c r="F48" s="339"/>
      <c r="G48" s="339"/>
      <c r="H48" s="339"/>
      <c r="I48" s="324"/>
      <c r="J48" s="63" t="str">
        <f>IF(AND('Mapa final'!$AA$19="Muy Baja",'Mapa final'!$AC$19="Leve"),CONCATENATE("R3C",'Mapa final'!$Q$19),"")</f>
        <v/>
      </c>
      <c r="K48" s="64" t="str">
        <f>IF(AND('Mapa final'!$AA$20="Muy Baja",'Mapa final'!$AC$20="Leve"),CONCATENATE("R3C",'Mapa final'!$Q$20),"")</f>
        <v/>
      </c>
      <c r="L48" s="64" t="str">
        <f>IF(AND('Mapa final'!$AA$21="Muy Baja",'Mapa final'!$AC$21="Leve"),CONCATENATE("R3C",'Mapa final'!$Q$21),"")</f>
        <v/>
      </c>
      <c r="M48" s="64" t="str">
        <f>IF(AND('Mapa final'!$AA$22="Muy Baja",'Mapa final'!$AC$22="Leve"),CONCATENATE("R3C",'Mapa final'!$Q$22),"")</f>
        <v/>
      </c>
      <c r="N48" s="64" t="str">
        <f>IF(AND('Mapa final'!$AA$23="Muy Baja",'Mapa final'!$AC$23="Leve"),CONCATENATE("R3C",'Mapa final'!$Q$23),"")</f>
        <v/>
      </c>
      <c r="O48" s="65" t="str">
        <f>IF(AND('Mapa final'!$AA$24="Muy Baja",'Mapa final'!$AC$24="Leve"),CONCATENATE("R3C",'Mapa final'!$Q$24),"")</f>
        <v/>
      </c>
      <c r="P48" s="63" t="str">
        <f>IF(AND('Mapa final'!$AA$19="Muy Baja",'Mapa final'!$AC$19="Menor"),CONCATENATE("R3C",'Mapa final'!$Q$19),"")</f>
        <v/>
      </c>
      <c r="Q48" s="64" t="str">
        <f>IF(AND('Mapa final'!$AA$20="Muy Baja",'Mapa final'!$AC$20="Menor"),CONCATENATE("R3C",'Mapa final'!$Q$20),"")</f>
        <v/>
      </c>
      <c r="R48" s="64" t="str">
        <f>IF(AND('Mapa final'!$AA$21="Muy Baja",'Mapa final'!$AC$21="Menor"),CONCATENATE("R3C",'Mapa final'!$Q$21),"")</f>
        <v/>
      </c>
      <c r="S48" s="64" t="str">
        <f>IF(AND('Mapa final'!$AA$22="Muy Baja",'Mapa final'!$AC$22="Menor"),CONCATENATE("R3C",'Mapa final'!$Q$22),"")</f>
        <v/>
      </c>
      <c r="T48" s="64" t="str">
        <f>IF(AND('Mapa final'!$AA$23="Muy Baja",'Mapa final'!$AC$23="Menor"),CONCATENATE("R3C",'Mapa final'!$Q$23),"")</f>
        <v/>
      </c>
      <c r="U48" s="65" t="str">
        <f>IF(AND('Mapa final'!$AA$24="Muy Baja",'Mapa final'!$AC$24="Menor"),CONCATENATE("R3C",'Mapa final'!$Q$24),"")</f>
        <v/>
      </c>
      <c r="V48" s="54" t="str">
        <f>IF(AND('Mapa final'!$AA$19="Muy Baja",'Mapa final'!$AC$19="Moderado"),CONCATENATE("R3C",'Mapa final'!$Q$19),"")</f>
        <v/>
      </c>
      <c r="W48" s="55" t="str">
        <f>IF(AND('Mapa final'!$AA$20="Muy Baja",'Mapa final'!$AC$20="Moderado"),CONCATENATE("R3C",'Mapa final'!$Q$20),"")</f>
        <v/>
      </c>
      <c r="X48" s="55" t="str">
        <f>IF(AND('Mapa final'!$AA$21="Muy Baja",'Mapa final'!$AC$21="Moderado"),CONCATENATE("R3C",'Mapa final'!$Q$21),"")</f>
        <v/>
      </c>
      <c r="Y48" s="55" t="str">
        <f>IF(AND('Mapa final'!$AA$22="Muy Baja",'Mapa final'!$AC$22="Moderado"),CONCATENATE("R3C",'Mapa final'!$Q$22),"")</f>
        <v/>
      </c>
      <c r="Z48" s="55" t="str">
        <f>IF(AND('Mapa final'!$AA$23="Muy Baja",'Mapa final'!$AC$23="Moderado"),CONCATENATE("R3C",'Mapa final'!$Q$23),"")</f>
        <v/>
      </c>
      <c r="AA48" s="56" t="str">
        <f>IF(AND('Mapa final'!$AA$24="Muy Baja",'Mapa final'!$AC$24="Moderado"),CONCATENATE("R3C",'Mapa final'!$Q$24),"")</f>
        <v/>
      </c>
      <c r="AB48" s="38" t="str">
        <f>IF(AND('Mapa final'!$AA$19="Muy Baja",'Mapa final'!$AC$19="Mayor"),CONCATENATE("R3C",'Mapa final'!$Q$19),"")</f>
        <v/>
      </c>
      <c r="AC48" s="39" t="str">
        <f>IF(AND('Mapa final'!$AA$20="Muy Baja",'Mapa final'!$AC$20="Mayor"),CONCATENATE("R3C",'Mapa final'!$Q$20),"")</f>
        <v/>
      </c>
      <c r="AD48" s="39" t="str">
        <f>IF(AND('Mapa final'!$AA$21="Muy Baja",'Mapa final'!$AC$21="Mayor"),CONCATENATE("R3C",'Mapa final'!$Q$21),"")</f>
        <v/>
      </c>
      <c r="AE48" s="39" t="str">
        <f>IF(AND('Mapa final'!$AA$22="Muy Baja",'Mapa final'!$AC$22="Mayor"),CONCATENATE("R3C",'Mapa final'!$Q$22),"")</f>
        <v/>
      </c>
      <c r="AF48" s="39" t="str">
        <f>IF(AND('Mapa final'!$AA$23="Muy Baja",'Mapa final'!$AC$23="Mayor"),CONCATENATE("R3C",'Mapa final'!$Q$23),"")</f>
        <v/>
      </c>
      <c r="AG48" s="40" t="str">
        <f>IF(AND('Mapa final'!$AA$24="Muy Baja",'Mapa final'!$AC$24="Mayor"),CONCATENATE("R3C",'Mapa final'!$Q$24),"")</f>
        <v/>
      </c>
      <c r="AH48" s="41" t="str">
        <f>IF(AND('Mapa final'!$AA$19="Muy Baja",'Mapa final'!$AC$19="Catastrófico"),CONCATENATE("R3C",'Mapa final'!$Q$19),"")</f>
        <v/>
      </c>
      <c r="AI48" s="42" t="str">
        <f>IF(AND('Mapa final'!$AA$20="Muy Baja",'Mapa final'!$AC$20="Catastrófico"),CONCATENATE("R3C",'Mapa final'!$Q$20),"")</f>
        <v/>
      </c>
      <c r="AJ48" s="42" t="str">
        <f>IF(AND('Mapa final'!$AA$21="Muy Baja",'Mapa final'!$AC$21="Catastrófico"),CONCATENATE("R3C",'Mapa final'!$Q$21),"")</f>
        <v/>
      </c>
      <c r="AK48" s="42" t="str">
        <f>IF(AND('Mapa final'!$AA$22="Muy Baja",'Mapa final'!$AC$22="Catastrófico"),CONCATENATE("R3C",'Mapa final'!$Q$22),"")</f>
        <v/>
      </c>
      <c r="AL48" s="42" t="str">
        <f>IF(AND('Mapa final'!$AA$23="Muy Baja",'Mapa final'!$AC$23="Catastrófico"),CONCATENATE("R3C",'Mapa final'!$Q$23),"")</f>
        <v/>
      </c>
      <c r="AM48" s="43" t="str">
        <f>IF(AND('Mapa final'!$AA$24="Muy Baja",'Mapa final'!$AC$24="Catastrófico"),CONCATENATE("R3C",'Mapa final'!$Q$24),"")</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81"/>
      <c r="C49" s="281"/>
      <c r="D49" s="282"/>
      <c r="E49" s="322"/>
      <c r="F49" s="323"/>
      <c r="G49" s="323"/>
      <c r="H49" s="323"/>
      <c r="I49" s="324"/>
      <c r="J49" s="63" t="str">
        <f>IF(AND('Mapa final'!$AA$25="Muy Baja",'Mapa final'!$AC$25="Leve"),CONCATENATE("R4C",'Mapa final'!$Q$25),"")</f>
        <v/>
      </c>
      <c r="K49" s="64" t="str">
        <f>IF(AND('Mapa final'!$AA$26="Muy Baja",'Mapa final'!$AC$26="Leve"),CONCATENATE("R4C",'Mapa final'!$Q$26),"")</f>
        <v/>
      </c>
      <c r="L49" s="64" t="str">
        <f>IF(AND('Mapa final'!$AA$27="Muy Baja",'Mapa final'!$AC$27="Leve"),CONCATENATE("R4C",'Mapa final'!$Q$27),"")</f>
        <v/>
      </c>
      <c r="M49" s="64" t="str">
        <f>IF(AND('Mapa final'!$AA$28="Muy Baja",'Mapa final'!$AC$28="Leve"),CONCATENATE("R4C",'Mapa final'!$Q$28),"")</f>
        <v/>
      </c>
      <c r="N49" s="64" t="str">
        <f>IF(AND('Mapa final'!$AA$29="Muy Baja",'Mapa final'!$AC$29="Leve"),CONCATENATE("R4C",'Mapa final'!$Q$29),"")</f>
        <v/>
      </c>
      <c r="O49" s="65" t="str">
        <f>IF(AND('Mapa final'!$AA$30="Muy Baja",'Mapa final'!$AC$30="Leve"),CONCATENATE("R4C",'Mapa final'!$Q$30),"")</f>
        <v/>
      </c>
      <c r="P49" s="63" t="str">
        <f>IF(AND('Mapa final'!$AA$25="Muy Baja",'Mapa final'!$AC$25="Menor"),CONCATENATE("R4C",'Mapa final'!$Q$25),"")</f>
        <v/>
      </c>
      <c r="Q49" s="64" t="str">
        <f>IF(AND('Mapa final'!$AA$26="Muy Baja",'Mapa final'!$AC$26="Menor"),CONCATENATE("R4C",'Mapa final'!$Q$26),"")</f>
        <v/>
      </c>
      <c r="R49" s="64" t="str">
        <f>IF(AND('Mapa final'!$AA$27="Muy Baja",'Mapa final'!$AC$27="Menor"),CONCATENATE("R4C",'Mapa final'!$Q$27),"")</f>
        <v/>
      </c>
      <c r="S49" s="64" t="str">
        <f>IF(AND('Mapa final'!$AA$28="Muy Baja",'Mapa final'!$AC$28="Menor"),CONCATENATE("R4C",'Mapa final'!$Q$28),"")</f>
        <v/>
      </c>
      <c r="T49" s="64" t="str">
        <f>IF(AND('Mapa final'!$AA$29="Muy Baja",'Mapa final'!$AC$29="Menor"),CONCATENATE("R4C",'Mapa final'!$Q$29),"")</f>
        <v/>
      </c>
      <c r="U49" s="65" t="str">
        <f>IF(AND('Mapa final'!$AA$30="Muy Baja",'Mapa final'!$AC$30="Menor"),CONCATENATE("R4C",'Mapa final'!$Q$30),"")</f>
        <v/>
      </c>
      <c r="V49" s="54" t="str">
        <f>IF(AND('Mapa final'!$AA$25="Muy Baja",'Mapa final'!$AC$25="Moderado"),CONCATENATE("R4C",'Mapa final'!$Q$25),"")</f>
        <v/>
      </c>
      <c r="W49" s="55" t="str">
        <f>IF(AND('Mapa final'!$AA$26="Muy Baja",'Mapa final'!$AC$26="Moderado"),CONCATENATE("R4C",'Mapa final'!$Q$26),"")</f>
        <v/>
      </c>
      <c r="X49" s="55" t="str">
        <f>IF(AND('Mapa final'!$AA$27="Muy Baja",'Mapa final'!$AC$27="Moderado"),CONCATENATE("R4C",'Mapa final'!$Q$27),"")</f>
        <v/>
      </c>
      <c r="Y49" s="55" t="str">
        <f>IF(AND('Mapa final'!$AA$28="Muy Baja",'Mapa final'!$AC$28="Moderado"),CONCATENATE("R4C",'Mapa final'!$Q$28),"")</f>
        <v/>
      </c>
      <c r="Z49" s="55" t="str">
        <f>IF(AND('Mapa final'!$AA$29="Muy Baja",'Mapa final'!$AC$29="Moderado"),CONCATENATE("R4C",'Mapa final'!$Q$29),"")</f>
        <v/>
      </c>
      <c r="AA49" s="56" t="str">
        <f>IF(AND('Mapa final'!$AA$30="Muy Baja",'Mapa final'!$AC$30="Moderado"),CONCATENATE("R4C",'Mapa final'!$Q$30),"")</f>
        <v/>
      </c>
      <c r="AB49" s="38" t="str">
        <f>IF(AND('Mapa final'!$AA$25="Muy Baja",'Mapa final'!$AC$25="Mayor"),CONCATENATE("R4C",'Mapa final'!$Q$25),"")</f>
        <v/>
      </c>
      <c r="AC49" s="39" t="str">
        <f>IF(AND('Mapa final'!$AA$26="Muy Baja",'Mapa final'!$AC$26="Mayor"),CONCATENATE("R4C",'Mapa final'!$Q$26),"")</f>
        <v/>
      </c>
      <c r="AD49" s="39" t="str">
        <f>IF(AND('Mapa final'!$AA$27="Muy Baja",'Mapa final'!$AC$27="Mayor"),CONCATENATE("R4C",'Mapa final'!$Q$27),"")</f>
        <v/>
      </c>
      <c r="AE49" s="39" t="str">
        <f>IF(AND('Mapa final'!$AA$28="Muy Baja",'Mapa final'!$AC$28="Mayor"),CONCATENATE("R4C",'Mapa final'!$Q$28),"")</f>
        <v/>
      </c>
      <c r="AF49" s="39" t="str">
        <f>IF(AND('Mapa final'!$AA$29="Muy Baja",'Mapa final'!$AC$29="Mayor"),CONCATENATE("R4C",'Mapa final'!$Q$29),"")</f>
        <v/>
      </c>
      <c r="AG49" s="40" t="str">
        <f>IF(AND('Mapa final'!$AA$30="Muy Baja",'Mapa final'!$AC$30="Mayor"),CONCATENATE("R4C",'Mapa final'!$Q$30),"")</f>
        <v/>
      </c>
      <c r="AH49" s="41" t="str">
        <f>IF(AND('Mapa final'!$AA$25="Muy Baja",'Mapa final'!$AC$25="Catastrófico"),CONCATENATE("R4C",'Mapa final'!$Q$25),"")</f>
        <v/>
      </c>
      <c r="AI49" s="42" t="str">
        <f>IF(AND('Mapa final'!$AA$26="Muy Baja",'Mapa final'!$AC$26="Catastrófico"),CONCATENATE("R4C",'Mapa final'!$Q$26),"")</f>
        <v/>
      </c>
      <c r="AJ49" s="42" t="str">
        <f>IF(AND('Mapa final'!$AA$27="Muy Baja",'Mapa final'!$AC$27="Catastrófico"),CONCATENATE("R4C",'Mapa final'!$Q$27),"")</f>
        <v/>
      </c>
      <c r="AK49" s="42" t="str">
        <f>IF(AND('Mapa final'!$AA$28="Muy Baja",'Mapa final'!$AC$28="Catastrófico"),CONCATENATE("R4C",'Mapa final'!$Q$28),"")</f>
        <v/>
      </c>
      <c r="AL49" s="42" t="str">
        <f>IF(AND('Mapa final'!$AA$29="Muy Baja",'Mapa final'!$AC$29="Catastrófico"),CONCATENATE("R4C",'Mapa final'!$Q$29),"")</f>
        <v/>
      </c>
      <c r="AM49" s="43" t="str">
        <f>IF(AND('Mapa final'!$AA$30="Muy Baja",'Mapa final'!$AC$30="Catastrófico"),CONCATENATE("R4C",'Mapa final'!$Q$30),"")</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81"/>
      <c r="C50" s="281"/>
      <c r="D50" s="282"/>
      <c r="E50" s="322"/>
      <c r="F50" s="323"/>
      <c r="G50" s="323"/>
      <c r="H50" s="323"/>
      <c r="I50" s="324"/>
      <c r="J50" s="63" t="str">
        <f>IF(AND('Mapa final'!$AA$31="Muy Baja",'Mapa final'!$AC$31="Leve"),CONCATENATE("R5C",'Mapa final'!$Q$31),"")</f>
        <v/>
      </c>
      <c r="K50" s="64" t="str">
        <f>IF(AND('Mapa final'!$AA$32="Muy Baja",'Mapa final'!$AC$32="Leve"),CONCATENATE("R5C",'Mapa final'!$Q$32),"")</f>
        <v/>
      </c>
      <c r="L50" s="64" t="str">
        <f>IF(AND('Mapa final'!$AA$33="Muy Baja",'Mapa final'!$AC$33="Leve"),CONCATENATE("R5C",'Mapa final'!$Q$33),"")</f>
        <v/>
      </c>
      <c r="M50" s="64" t="str">
        <f>IF(AND('Mapa final'!$AA$34="Muy Baja",'Mapa final'!$AC$34="Leve"),CONCATENATE("R5C",'Mapa final'!$Q$34),"")</f>
        <v/>
      </c>
      <c r="N50" s="64" t="str">
        <f>IF(AND('Mapa final'!$AA$35="Muy Baja",'Mapa final'!$AC$35="Leve"),CONCATENATE("R5C",'Mapa final'!$Q$35),"")</f>
        <v/>
      </c>
      <c r="O50" s="65" t="str">
        <f>IF(AND('Mapa final'!$AA$36="Muy Baja",'Mapa final'!$AC$36="Leve"),CONCATENATE("R5C",'Mapa final'!$Q$36),"")</f>
        <v/>
      </c>
      <c r="P50" s="63" t="str">
        <f>IF(AND('Mapa final'!$AA$31="Muy Baja",'Mapa final'!$AC$31="Menor"),CONCATENATE("R5C",'Mapa final'!$Q$31),"")</f>
        <v/>
      </c>
      <c r="Q50" s="64" t="str">
        <f>IF(AND('Mapa final'!$AA$32="Muy Baja",'Mapa final'!$AC$32="Menor"),CONCATENATE("R5C",'Mapa final'!$Q$32),"")</f>
        <v/>
      </c>
      <c r="R50" s="64" t="str">
        <f>IF(AND('Mapa final'!$AA$33="Muy Baja",'Mapa final'!$AC$33="Menor"),CONCATENATE("R5C",'Mapa final'!$Q$33),"")</f>
        <v/>
      </c>
      <c r="S50" s="64" t="str">
        <f>IF(AND('Mapa final'!$AA$34="Muy Baja",'Mapa final'!$AC$34="Menor"),CONCATENATE("R5C",'Mapa final'!$Q$34),"")</f>
        <v/>
      </c>
      <c r="T50" s="64" t="str">
        <f>IF(AND('Mapa final'!$AA$35="Muy Baja",'Mapa final'!$AC$35="Menor"),CONCATENATE("R5C",'Mapa final'!$Q$35),"")</f>
        <v/>
      </c>
      <c r="U50" s="65" t="str">
        <f>IF(AND('Mapa final'!$AA$36="Muy Baja",'Mapa final'!$AC$36="Menor"),CONCATENATE("R5C",'Mapa final'!$Q$36),"")</f>
        <v/>
      </c>
      <c r="V50" s="54" t="str">
        <f>IF(AND('Mapa final'!$AA$31="Muy Baja",'Mapa final'!$AC$31="Moderado"),CONCATENATE("R5C",'Mapa final'!$Q$31),"")</f>
        <v/>
      </c>
      <c r="W50" s="55" t="str">
        <f>IF(AND('Mapa final'!$AA$32="Muy Baja",'Mapa final'!$AC$32="Moderado"),CONCATENATE("R5C",'Mapa final'!$Q$32),"")</f>
        <v/>
      </c>
      <c r="X50" s="55" t="str">
        <f>IF(AND('Mapa final'!$AA$33="Muy Baja",'Mapa final'!$AC$33="Moderado"),CONCATENATE("R5C",'Mapa final'!$Q$33),"")</f>
        <v/>
      </c>
      <c r="Y50" s="55" t="str">
        <f>IF(AND('Mapa final'!$AA$34="Muy Baja",'Mapa final'!$AC$34="Moderado"),CONCATENATE("R5C",'Mapa final'!$Q$34),"")</f>
        <v/>
      </c>
      <c r="Z50" s="55" t="str">
        <f>IF(AND('Mapa final'!$AA$35="Muy Baja",'Mapa final'!$AC$35="Moderado"),CONCATENATE("R5C",'Mapa final'!$Q$35),"")</f>
        <v/>
      </c>
      <c r="AA50" s="56" t="str">
        <f>IF(AND('Mapa final'!$AA$36="Muy Baja",'Mapa final'!$AC$36="Moderado"),CONCATENATE("R5C",'Mapa final'!$Q$36),"")</f>
        <v/>
      </c>
      <c r="AB50" s="38" t="str">
        <f>IF(AND('Mapa final'!$AA$31="Muy Baja",'Mapa final'!$AC$31="Mayor"),CONCATENATE("R5C",'Mapa final'!$Q$31),"")</f>
        <v/>
      </c>
      <c r="AC50" s="39" t="str">
        <f>IF(AND('Mapa final'!$AA$32="Muy Baja",'Mapa final'!$AC$32="Mayor"),CONCATENATE("R5C",'Mapa final'!$Q$32),"")</f>
        <v/>
      </c>
      <c r="AD50" s="44" t="str">
        <f>IF(AND('Mapa final'!$AA$33="Muy Baja",'Mapa final'!$AC$33="Mayor"),CONCATENATE("R5C",'Mapa final'!$Q$33),"")</f>
        <v/>
      </c>
      <c r="AE50" s="44" t="str">
        <f>IF(AND('Mapa final'!$AA$34="Muy Baja",'Mapa final'!$AC$34="Mayor"),CONCATENATE("R5C",'Mapa final'!$Q$34),"")</f>
        <v/>
      </c>
      <c r="AF50" s="44" t="str">
        <f>IF(AND('Mapa final'!$AA$35="Muy Baja",'Mapa final'!$AC$35="Mayor"),CONCATENATE("R5C",'Mapa final'!$Q$35),"")</f>
        <v/>
      </c>
      <c r="AG50" s="40" t="str">
        <f>IF(AND('Mapa final'!$AA$36="Muy Baja",'Mapa final'!$AC$36="Mayor"),CONCATENATE("R5C",'Mapa final'!$Q$36),"")</f>
        <v/>
      </c>
      <c r="AH50" s="41" t="str">
        <f>IF(AND('Mapa final'!$AA$31="Muy Baja",'Mapa final'!$AC$31="Catastrófico"),CONCATENATE("R5C",'Mapa final'!$Q$31),"")</f>
        <v/>
      </c>
      <c r="AI50" s="42" t="str">
        <f>IF(AND('Mapa final'!$AA$32="Muy Baja",'Mapa final'!$AC$32="Catastrófico"),CONCATENATE("R5C",'Mapa final'!$Q$32),"")</f>
        <v/>
      </c>
      <c r="AJ50" s="42" t="str">
        <f>IF(AND('Mapa final'!$AA$33="Muy Baja",'Mapa final'!$AC$33="Catastrófico"),CONCATENATE("R5C",'Mapa final'!$Q$33),"")</f>
        <v/>
      </c>
      <c r="AK50" s="42" t="str">
        <f>IF(AND('Mapa final'!$AA$34="Muy Baja",'Mapa final'!$AC$34="Catastrófico"),CONCATENATE("R5C",'Mapa final'!$Q$34),"")</f>
        <v/>
      </c>
      <c r="AL50" s="42" t="str">
        <f>IF(AND('Mapa final'!$AA$35="Muy Baja",'Mapa final'!$AC$35="Catastrófico"),CONCATENATE("R5C",'Mapa final'!$Q$35),"")</f>
        <v/>
      </c>
      <c r="AM50" s="43" t="str">
        <f>IF(AND('Mapa final'!$AA$36="Muy Baja",'Mapa final'!$AC$36="Catastrófico"),CONCATENATE("R5C",'Mapa final'!$Q$36),"")</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81"/>
      <c r="C51" s="281"/>
      <c r="D51" s="282"/>
      <c r="E51" s="322"/>
      <c r="F51" s="323"/>
      <c r="G51" s="323"/>
      <c r="H51" s="323"/>
      <c r="I51" s="324"/>
      <c r="J51" s="63" t="str">
        <f>IF(AND('Mapa final'!$AA$37="Muy Baja",'Mapa final'!$AC$37="Leve"),CONCATENATE("R6C",'Mapa final'!$Q$37),"")</f>
        <v/>
      </c>
      <c r="K51" s="64" t="str">
        <f>IF(AND('Mapa final'!$AA$38="Muy Baja",'Mapa final'!$AC$38="Leve"),CONCATENATE("R6C",'Mapa final'!$Q$38),"")</f>
        <v/>
      </c>
      <c r="L51" s="64" t="str">
        <f>IF(AND('Mapa final'!$AA$39="Muy Baja",'Mapa final'!$AC$39="Leve"),CONCATENATE("R6C",'Mapa final'!$Q$39),"")</f>
        <v/>
      </c>
      <c r="M51" s="64" t="str">
        <f>IF(AND('Mapa final'!$AA$40="Muy Baja",'Mapa final'!$AC$40="Leve"),CONCATENATE("R6C",'Mapa final'!$Q$40),"")</f>
        <v/>
      </c>
      <c r="N51" s="64" t="str">
        <f>IF(AND('Mapa final'!$AA$41="Muy Baja",'Mapa final'!$AC$41="Leve"),CONCATENATE("R6C",'Mapa final'!$Q$41),"")</f>
        <v/>
      </c>
      <c r="O51" s="65" t="str">
        <f>IF(AND('Mapa final'!$AA$42="Muy Baja",'Mapa final'!$AC$42="Leve"),CONCATENATE("R6C",'Mapa final'!$Q$42),"")</f>
        <v/>
      </c>
      <c r="P51" s="63" t="str">
        <f>IF(AND('Mapa final'!$AA$37="Muy Baja",'Mapa final'!$AC$37="Menor"),CONCATENATE("R6C",'Mapa final'!$Q$37),"")</f>
        <v/>
      </c>
      <c r="Q51" s="64" t="str">
        <f>IF(AND('Mapa final'!$AA$38="Muy Baja",'Mapa final'!$AC$38="Menor"),CONCATENATE("R6C",'Mapa final'!$Q$38),"")</f>
        <v/>
      </c>
      <c r="R51" s="64" t="str">
        <f>IF(AND('Mapa final'!$AA$39="Muy Baja",'Mapa final'!$AC$39="Menor"),CONCATENATE("R6C",'Mapa final'!$Q$39),"")</f>
        <v/>
      </c>
      <c r="S51" s="64" t="str">
        <f>IF(AND('Mapa final'!$AA$40="Muy Baja",'Mapa final'!$AC$40="Menor"),CONCATENATE("R6C",'Mapa final'!$Q$40),"")</f>
        <v/>
      </c>
      <c r="T51" s="64" t="str">
        <f>IF(AND('Mapa final'!$AA$41="Muy Baja",'Mapa final'!$AC$41="Menor"),CONCATENATE("R6C",'Mapa final'!$Q$41),"")</f>
        <v/>
      </c>
      <c r="U51" s="65" t="str">
        <f>IF(AND('Mapa final'!$AA$42="Muy Baja",'Mapa final'!$AC$42="Menor"),CONCATENATE("R6C",'Mapa final'!$Q$42),"")</f>
        <v/>
      </c>
      <c r="V51" s="54" t="str">
        <f>IF(AND('Mapa final'!$AA$37="Muy Baja",'Mapa final'!$AC$37="Moderado"),CONCATENATE("R6C",'Mapa final'!$Q$37),"")</f>
        <v/>
      </c>
      <c r="W51" s="55" t="str">
        <f>IF(AND('Mapa final'!$AA$38="Muy Baja",'Mapa final'!$AC$38="Moderado"),CONCATENATE("R6C",'Mapa final'!$Q$38),"")</f>
        <v/>
      </c>
      <c r="X51" s="55" t="str">
        <f>IF(AND('Mapa final'!$AA$39="Muy Baja",'Mapa final'!$AC$39="Moderado"),CONCATENATE("R6C",'Mapa final'!$Q$39),"")</f>
        <v/>
      </c>
      <c r="Y51" s="55" t="str">
        <f>IF(AND('Mapa final'!$AA$40="Muy Baja",'Mapa final'!$AC$40="Moderado"),CONCATENATE("R6C",'Mapa final'!$Q$40),"")</f>
        <v/>
      </c>
      <c r="Z51" s="55" t="str">
        <f>IF(AND('Mapa final'!$AA$41="Muy Baja",'Mapa final'!$AC$41="Moderado"),CONCATENATE("R6C",'Mapa final'!$Q$41),"")</f>
        <v/>
      </c>
      <c r="AA51" s="56" t="str">
        <f>IF(AND('Mapa final'!$AA$42="Muy Baja",'Mapa final'!$AC$42="Moderado"),CONCATENATE("R6C",'Mapa final'!$Q$42),"")</f>
        <v/>
      </c>
      <c r="AB51" s="38" t="str">
        <f>IF(AND('Mapa final'!$AA$37="Muy Baja",'Mapa final'!$AC$37="Mayor"),CONCATENATE("R6C",'Mapa final'!$Q$37),"")</f>
        <v/>
      </c>
      <c r="AC51" s="39" t="str">
        <f>IF(AND('Mapa final'!$AA$38="Muy Baja",'Mapa final'!$AC$38="Mayor"),CONCATENATE("R6C",'Mapa final'!$Q$38),"")</f>
        <v/>
      </c>
      <c r="AD51" s="44" t="str">
        <f>IF(AND('Mapa final'!$AA$39="Muy Baja",'Mapa final'!$AC$39="Mayor"),CONCATENATE("R6C",'Mapa final'!$Q$39),"")</f>
        <v/>
      </c>
      <c r="AE51" s="44" t="str">
        <f>IF(AND('Mapa final'!$AA$40="Muy Baja",'Mapa final'!$AC$40="Mayor"),CONCATENATE("R6C",'Mapa final'!$Q$40),"")</f>
        <v/>
      </c>
      <c r="AF51" s="44" t="str">
        <f>IF(AND('Mapa final'!$AA$41="Muy Baja",'Mapa final'!$AC$41="Mayor"),CONCATENATE("R6C",'Mapa final'!$Q$41),"")</f>
        <v/>
      </c>
      <c r="AG51" s="40" t="str">
        <f>IF(AND('Mapa final'!$AA$42="Muy Baja",'Mapa final'!$AC$42="Mayor"),CONCATENATE("R6C",'Mapa final'!$Q$42),"")</f>
        <v/>
      </c>
      <c r="AH51" s="41" t="str">
        <f>IF(AND('Mapa final'!$AA$37="Muy Baja",'Mapa final'!$AC$37="Catastrófico"),CONCATENATE("R6C",'Mapa final'!$Q$37),"")</f>
        <v/>
      </c>
      <c r="AI51" s="42" t="str">
        <f>IF(AND('Mapa final'!$AA$38="Muy Baja",'Mapa final'!$AC$38="Catastrófico"),CONCATENATE("R6C",'Mapa final'!$Q$38),"")</f>
        <v/>
      </c>
      <c r="AJ51" s="42" t="str">
        <f>IF(AND('Mapa final'!$AA$39="Muy Baja",'Mapa final'!$AC$39="Catastrófico"),CONCATENATE("R6C",'Mapa final'!$Q$39),"")</f>
        <v/>
      </c>
      <c r="AK51" s="42" t="str">
        <f>IF(AND('Mapa final'!$AA$40="Muy Baja",'Mapa final'!$AC$40="Catastrófico"),CONCATENATE("R6C",'Mapa final'!$Q$40),"")</f>
        <v/>
      </c>
      <c r="AL51" s="42" t="str">
        <f>IF(AND('Mapa final'!$AA$41="Muy Baja",'Mapa final'!$AC$41="Catastrófico"),CONCATENATE("R6C",'Mapa final'!$Q$41),"")</f>
        <v/>
      </c>
      <c r="AM51" s="43" t="str">
        <f>IF(AND('Mapa final'!$AA$42="Muy Baja",'Mapa final'!$AC$42="Catastrófico"),CONCATENATE("R6C",'Mapa final'!$Q$42),"")</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81"/>
      <c r="C52" s="281"/>
      <c r="D52" s="282"/>
      <c r="E52" s="322"/>
      <c r="F52" s="323"/>
      <c r="G52" s="323"/>
      <c r="H52" s="323"/>
      <c r="I52" s="324"/>
      <c r="J52" s="63" t="str">
        <f>IF(AND('Mapa final'!$AA$43="Muy Baja",'Mapa final'!$AC$43="Leve"),CONCATENATE("R7C",'Mapa final'!$Q$43),"")</f>
        <v/>
      </c>
      <c r="K52" s="64" t="str">
        <f>IF(AND('Mapa final'!$AA$44="Muy Baja",'Mapa final'!$AC$44="Leve"),CONCATENATE("R7C",'Mapa final'!$Q$44),"")</f>
        <v/>
      </c>
      <c r="L52" s="64" t="str">
        <f>IF(AND('Mapa final'!$AA$45="Muy Baja",'Mapa final'!$AC$45="Leve"),CONCATENATE("R7C",'Mapa final'!$Q$45),"")</f>
        <v/>
      </c>
      <c r="M52" s="64" t="str">
        <f>IF(AND('Mapa final'!$AA$46="Muy Baja",'Mapa final'!$AC$46="Leve"),CONCATENATE("R7C",'Mapa final'!$Q$46),"")</f>
        <v/>
      </c>
      <c r="N52" s="64" t="str">
        <f>IF(AND('Mapa final'!$AA$47="Muy Baja",'Mapa final'!$AC$47="Leve"),CONCATENATE("R7C",'Mapa final'!$Q$47),"")</f>
        <v/>
      </c>
      <c r="O52" s="65" t="str">
        <f>IF(AND('Mapa final'!$AA$48="Muy Baja",'Mapa final'!$AC$48="Leve"),CONCATENATE("R7C",'Mapa final'!$Q$48),"")</f>
        <v/>
      </c>
      <c r="P52" s="63" t="str">
        <f>IF(AND('Mapa final'!$AA$43="Muy Baja",'Mapa final'!$AC$43="Menor"),CONCATENATE("R7C",'Mapa final'!$Q$43),"")</f>
        <v/>
      </c>
      <c r="Q52" s="64" t="str">
        <f>IF(AND('Mapa final'!$AA$44="Muy Baja",'Mapa final'!$AC$44="Menor"),CONCATENATE("R7C",'Mapa final'!$Q$44),"")</f>
        <v/>
      </c>
      <c r="R52" s="64" t="str">
        <f>IF(AND('Mapa final'!$AA$45="Muy Baja",'Mapa final'!$AC$45="Menor"),CONCATENATE("R7C",'Mapa final'!$Q$45),"")</f>
        <v/>
      </c>
      <c r="S52" s="64" t="str">
        <f>IF(AND('Mapa final'!$AA$46="Muy Baja",'Mapa final'!$AC$46="Menor"),CONCATENATE("R7C",'Mapa final'!$Q$46),"")</f>
        <v/>
      </c>
      <c r="T52" s="64" t="str">
        <f>IF(AND('Mapa final'!$AA$47="Muy Baja",'Mapa final'!$AC$47="Menor"),CONCATENATE("R7C",'Mapa final'!$Q$47),"")</f>
        <v/>
      </c>
      <c r="U52" s="65" t="str">
        <f>IF(AND('Mapa final'!$AA$48="Muy Baja",'Mapa final'!$AC$48="Menor"),CONCATENATE("R7C",'Mapa final'!$Q$48),"")</f>
        <v/>
      </c>
      <c r="V52" s="54" t="str">
        <f>IF(AND('Mapa final'!$AA$43="Muy Baja",'Mapa final'!$AC$43="Moderado"),CONCATENATE("R7C",'Mapa final'!$Q$43),"")</f>
        <v/>
      </c>
      <c r="W52" s="55" t="str">
        <f>IF(AND('Mapa final'!$AA$44="Muy Baja",'Mapa final'!$AC$44="Moderado"),CONCATENATE("R7C",'Mapa final'!$Q$44),"")</f>
        <v/>
      </c>
      <c r="X52" s="55" t="str">
        <f>IF(AND('Mapa final'!$AA$45="Muy Baja",'Mapa final'!$AC$45="Moderado"),CONCATENATE("R7C",'Mapa final'!$Q$45),"")</f>
        <v/>
      </c>
      <c r="Y52" s="55" t="str">
        <f>IF(AND('Mapa final'!$AA$46="Muy Baja",'Mapa final'!$AC$46="Moderado"),CONCATENATE("R7C",'Mapa final'!$Q$46),"")</f>
        <v/>
      </c>
      <c r="Z52" s="55" t="str">
        <f>IF(AND('Mapa final'!$AA$47="Muy Baja",'Mapa final'!$AC$47="Moderado"),CONCATENATE("R7C",'Mapa final'!$Q$47),"")</f>
        <v/>
      </c>
      <c r="AA52" s="56" t="str">
        <f>IF(AND('Mapa final'!$AA$48="Muy Baja",'Mapa final'!$AC$48="Moderado"),CONCATENATE("R7C",'Mapa final'!$Q$48),"")</f>
        <v/>
      </c>
      <c r="AB52" s="38" t="str">
        <f>IF(AND('Mapa final'!$AA$43="Muy Baja",'Mapa final'!$AC$43="Mayor"),CONCATENATE("R7C",'Mapa final'!$Q$43),"")</f>
        <v/>
      </c>
      <c r="AC52" s="39" t="str">
        <f>IF(AND('Mapa final'!$AA$44="Muy Baja",'Mapa final'!$AC$44="Mayor"),CONCATENATE("R7C",'Mapa final'!$Q$44),"")</f>
        <v/>
      </c>
      <c r="AD52" s="44" t="str">
        <f>IF(AND('Mapa final'!$AA$45="Muy Baja",'Mapa final'!$AC$45="Mayor"),CONCATENATE("R7C",'Mapa final'!$Q$45),"")</f>
        <v/>
      </c>
      <c r="AE52" s="44" t="str">
        <f>IF(AND('Mapa final'!$AA$46="Muy Baja",'Mapa final'!$AC$46="Mayor"),CONCATENATE("R7C",'Mapa final'!$Q$46),"")</f>
        <v/>
      </c>
      <c r="AF52" s="44" t="str">
        <f>IF(AND('Mapa final'!$AA$47="Muy Baja",'Mapa final'!$AC$47="Mayor"),CONCATENATE("R7C",'Mapa final'!$Q$47),"")</f>
        <v/>
      </c>
      <c r="AG52" s="40" t="str">
        <f>IF(AND('Mapa final'!$AA$48="Muy Baja",'Mapa final'!$AC$48="Mayor"),CONCATENATE("R7C",'Mapa final'!$Q$48),"")</f>
        <v/>
      </c>
      <c r="AH52" s="41" t="str">
        <f>IF(AND('Mapa final'!$AA$43="Muy Baja",'Mapa final'!$AC$43="Catastrófico"),CONCATENATE("R7C",'Mapa final'!$Q$43),"")</f>
        <v/>
      </c>
      <c r="AI52" s="42" t="str">
        <f>IF(AND('Mapa final'!$AA$44="Muy Baja",'Mapa final'!$AC$44="Catastrófico"),CONCATENATE("R7C",'Mapa final'!$Q$44),"")</f>
        <v/>
      </c>
      <c r="AJ52" s="42" t="str">
        <f>IF(AND('Mapa final'!$AA$45="Muy Baja",'Mapa final'!$AC$45="Catastrófico"),CONCATENATE("R7C",'Mapa final'!$Q$45),"")</f>
        <v/>
      </c>
      <c r="AK52" s="42" t="str">
        <f>IF(AND('Mapa final'!$AA$46="Muy Baja",'Mapa final'!$AC$46="Catastrófico"),CONCATENATE("R7C",'Mapa final'!$Q$46),"")</f>
        <v/>
      </c>
      <c r="AL52" s="42" t="str">
        <f>IF(AND('Mapa final'!$AA$47="Muy Baja",'Mapa final'!$AC$47="Catastrófico"),CONCATENATE("R7C",'Mapa final'!$Q$47),"")</f>
        <v/>
      </c>
      <c r="AM52" s="43" t="str">
        <f>IF(AND('Mapa final'!$AA$48="Muy Baja",'Mapa final'!$AC$48="Catastrófico"),CONCATENATE("R7C",'Mapa final'!$Q$48),"")</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81"/>
      <c r="C53" s="281"/>
      <c r="D53" s="282"/>
      <c r="E53" s="322"/>
      <c r="F53" s="323"/>
      <c r="G53" s="323"/>
      <c r="H53" s="323"/>
      <c r="I53" s="324"/>
      <c r="J53" s="63" t="str">
        <f>IF(AND('Mapa final'!$AA$49="Muy Baja",'Mapa final'!$AC$49="Leve"),CONCATENATE("R8C",'Mapa final'!$Q$49),"")</f>
        <v/>
      </c>
      <c r="K53" s="64" t="str">
        <f>IF(AND('Mapa final'!$AA$50="Muy Baja",'Mapa final'!$AC$50="Leve"),CONCATENATE("R8C",'Mapa final'!$Q$50),"")</f>
        <v/>
      </c>
      <c r="L53" s="64" t="str">
        <f>IF(AND('Mapa final'!$AA$51="Muy Baja",'Mapa final'!$AC$51="Leve"),CONCATENATE("R8C",'Mapa final'!$Q$51),"")</f>
        <v/>
      </c>
      <c r="M53" s="64" t="str">
        <f>IF(AND('Mapa final'!$AA$52="Muy Baja",'Mapa final'!$AC$52="Leve"),CONCATENATE("R8C",'Mapa final'!$Q$52),"")</f>
        <v/>
      </c>
      <c r="N53" s="64" t="str">
        <f>IF(AND('Mapa final'!$AA$53="Muy Baja",'Mapa final'!$AC$53="Leve"),CONCATENATE("R8C",'Mapa final'!$Q$53),"")</f>
        <v/>
      </c>
      <c r="O53" s="65" t="str">
        <f>IF(AND('Mapa final'!$AA$54="Muy Baja",'Mapa final'!$AC$54="Leve"),CONCATENATE("R8C",'Mapa final'!$Q$54),"")</f>
        <v/>
      </c>
      <c r="P53" s="63" t="str">
        <f>IF(AND('Mapa final'!$AA$49="Muy Baja",'Mapa final'!$AC$49="Menor"),CONCATENATE("R8C",'Mapa final'!$Q$49),"")</f>
        <v/>
      </c>
      <c r="Q53" s="64" t="str">
        <f>IF(AND('Mapa final'!$AA$50="Muy Baja",'Mapa final'!$AC$50="Menor"),CONCATENATE("R8C",'Mapa final'!$Q$50),"")</f>
        <v/>
      </c>
      <c r="R53" s="64" t="str">
        <f>IF(AND('Mapa final'!$AA$51="Muy Baja",'Mapa final'!$AC$51="Menor"),CONCATENATE("R8C",'Mapa final'!$Q$51),"")</f>
        <v/>
      </c>
      <c r="S53" s="64" t="str">
        <f>IF(AND('Mapa final'!$AA$52="Muy Baja",'Mapa final'!$AC$52="Menor"),CONCATENATE("R8C",'Mapa final'!$Q$52),"")</f>
        <v/>
      </c>
      <c r="T53" s="64" t="str">
        <f>IF(AND('Mapa final'!$AA$53="Muy Baja",'Mapa final'!$AC$53="Menor"),CONCATENATE("R8C",'Mapa final'!$Q$53),"")</f>
        <v/>
      </c>
      <c r="U53" s="65" t="str">
        <f>IF(AND('Mapa final'!$AA$54="Muy Baja",'Mapa final'!$AC$54="Menor"),CONCATENATE("R8C",'Mapa final'!$Q$54),"")</f>
        <v/>
      </c>
      <c r="V53" s="54" t="str">
        <f>IF(AND('Mapa final'!$AA$49="Muy Baja",'Mapa final'!$AC$49="Moderado"),CONCATENATE("R8C",'Mapa final'!$Q$49),"")</f>
        <v/>
      </c>
      <c r="W53" s="55" t="str">
        <f>IF(AND('Mapa final'!$AA$50="Muy Baja",'Mapa final'!$AC$50="Moderado"),CONCATENATE("R8C",'Mapa final'!$Q$50),"")</f>
        <v/>
      </c>
      <c r="X53" s="55" t="str">
        <f>IF(AND('Mapa final'!$AA$51="Muy Baja",'Mapa final'!$AC$51="Moderado"),CONCATENATE("R8C",'Mapa final'!$Q$51),"")</f>
        <v/>
      </c>
      <c r="Y53" s="55" t="str">
        <f>IF(AND('Mapa final'!$AA$52="Muy Baja",'Mapa final'!$AC$52="Moderado"),CONCATENATE("R8C",'Mapa final'!$Q$52),"")</f>
        <v/>
      </c>
      <c r="Z53" s="55" t="str">
        <f>IF(AND('Mapa final'!$AA$53="Muy Baja",'Mapa final'!$AC$53="Moderado"),CONCATENATE("R8C",'Mapa final'!$Q$53),"")</f>
        <v/>
      </c>
      <c r="AA53" s="56" t="str">
        <f>IF(AND('Mapa final'!$AA$54="Muy Baja",'Mapa final'!$AC$54="Moderado"),CONCATENATE("R8C",'Mapa final'!$Q$54),"")</f>
        <v/>
      </c>
      <c r="AB53" s="38" t="str">
        <f>IF(AND('Mapa final'!$AA$49="Muy Baja",'Mapa final'!$AC$49="Mayor"),CONCATENATE("R8C",'Mapa final'!$Q$49),"")</f>
        <v/>
      </c>
      <c r="AC53" s="39" t="str">
        <f>IF(AND('Mapa final'!$AA$50="Muy Baja",'Mapa final'!$AC$50="Mayor"),CONCATENATE("R8C",'Mapa final'!$Q$50),"")</f>
        <v/>
      </c>
      <c r="AD53" s="44" t="str">
        <f>IF(AND('Mapa final'!$AA$51="Muy Baja",'Mapa final'!$AC$51="Mayor"),CONCATENATE("R8C",'Mapa final'!$Q$51),"")</f>
        <v/>
      </c>
      <c r="AE53" s="44" t="str">
        <f>IF(AND('Mapa final'!$AA$52="Muy Baja",'Mapa final'!$AC$52="Mayor"),CONCATENATE("R8C",'Mapa final'!$Q$52),"")</f>
        <v/>
      </c>
      <c r="AF53" s="44" t="str">
        <f>IF(AND('Mapa final'!$AA$53="Muy Baja",'Mapa final'!$AC$53="Mayor"),CONCATENATE("R8C",'Mapa final'!$Q$53),"")</f>
        <v/>
      </c>
      <c r="AG53" s="40" t="str">
        <f>IF(AND('Mapa final'!$AA$54="Muy Baja",'Mapa final'!$AC$54="Mayor"),CONCATENATE("R8C",'Mapa final'!$Q$54),"")</f>
        <v/>
      </c>
      <c r="AH53" s="41" t="str">
        <f>IF(AND('Mapa final'!$AA$49="Muy Baja",'Mapa final'!$AC$49="Catastrófico"),CONCATENATE("R8C",'Mapa final'!$Q$49),"")</f>
        <v/>
      </c>
      <c r="AI53" s="42" t="str">
        <f>IF(AND('Mapa final'!$AA$50="Muy Baja",'Mapa final'!$AC$50="Catastrófico"),CONCATENATE("R8C",'Mapa final'!$Q$50),"")</f>
        <v/>
      </c>
      <c r="AJ53" s="42" t="str">
        <f>IF(AND('Mapa final'!$AA$51="Muy Baja",'Mapa final'!$AC$51="Catastrófico"),CONCATENATE("R8C",'Mapa final'!$Q$51),"")</f>
        <v/>
      </c>
      <c r="AK53" s="42" t="str">
        <f>IF(AND('Mapa final'!$AA$52="Muy Baja",'Mapa final'!$AC$52="Catastrófico"),CONCATENATE("R8C",'Mapa final'!$Q$52),"")</f>
        <v/>
      </c>
      <c r="AL53" s="42" t="str">
        <f>IF(AND('Mapa final'!$AA$53="Muy Baja",'Mapa final'!$AC$53="Catastrófico"),CONCATENATE("R8C",'Mapa final'!$Q$53),"")</f>
        <v/>
      </c>
      <c r="AM53" s="43" t="str">
        <f>IF(AND('Mapa final'!$AA$54="Muy Baja",'Mapa final'!$AC$54="Catastrófico"),CONCATENATE("R8C",'Mapa final'!$Q$54),"")</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81"/>
      <c r="C54" s="281"/>
      <c r="D54" s="282"/>
      <c r="E54" s="322"/>
      <c r="F54" s="323"/>
      <c r="G54" s="323"/>
      <c r="H54" s="323"/>
      <c r="I54" s="324"/>
      <c r="J54" s="63" t="str">
        <f>IF(AND('Mapa final'!$AA$55="Muy Baja",'Mapa final'!$AC$55="Leve"),CONCATENATE("R9C",'Mapa final'!$Q$55),"")</f>
        <v/>
      </c>
      <c r="K54" s="64" t="str">
        <f>IF(AND('Mapa final'!$AA$56="Muy Baja",'Mapa final'!$AC$56="Leve"),CONCATENATE("R9C",'Mapa final'!$Q$56),"")</f>
        <v/>
      </c>
      <c r="L54" s="64" t="str">
        <f>IF(AND('Mapa final'!$AA$57="Muy Baja",'Mapa final'!$AC$57="Leve"),CONCATENATE("R9C",'Mapa final'!$Q$57),"")</f>
        <v/>
      </c>
      <c r="M54" s="64" t="str">
        <f>IF(AND('Mapa final'!$AA$58="Muy Baja",'Mapa final'!$AC$58="Leve"),CONCATENATE("R9C",'Mapa final'!$Q$58),"")</f>
        <v/>
      </c>
      <c r="N54" s="64" t="str">
        <f>IF(AND('Mapa final'!$AA$59="Muy Baja",'Mapa final'!$AC$59="Leve"),CONCATENATE("R9C",'Mapa final'!$Q$59),"")</f>
        <v/>
      </c>
      <c r="O54" s="65" t="str">
        <f>IF(AND('Mapa final'!$AA$60="Muy Baja",'Mapa final'!$AC$60="Leve"),CONCATENATE("R9C",'Mapa final'!$Q$60),"")</f>
        <v/>
      </c>
      <c r="P54" s="63" t="str">
        <f>IF(AND('Mapa final'!$AA$55="Muy Baja",'Mapa final'!$AC$55="Menor"),CONCATENATE("R9C",'Mapa final'!$Q$55),"")</f>
        <v/>
      </c>
      <c r="Q54" s="64" t="str">
        <f>IF(AND('Mapa final'!$AA$56="Muy Baja",'Mapa final'!$AC$56="Menor"),CONCATENATE("R9C",'Mapa final'!$Q$56),"")</f>
        <v/>
      </c>
      <c r="R54" s="64" t="str">
        <f>IF(AND('Mapa final'!$AA$57="Muy Baja",'Mapa final'!$AC$57="Menor"),CONCATENATE("R9C",'Mapa final'!$Q$57),"")</f>
        <v/>
      </c>
      <c r="S54" s="64" t="str">
        <f>IF(AND('Mapa final'!$AA$58="Muy Baja",'Mapa final'!$AC$58="Menor"),CONCATENATE("R9C",'Mapa final'!$Q$58),"")</f>
        <v/>
      </c>
      <c r="T54" s="64" t="str">
        <f>IF(AND('Mapa final'!$AA$59="Muy Baja",'Mapa final'!$AC$59="Menor"),CONCATENATE("R9C",'Mapa final'!$Q$59),"")</f>
        <v/>
      </c>
      <c r="U54" s="65" t="str">
        <f>IF(AND('Mapa final'!$AA$60="Muy Baja",'Mapa final'!$AC$60="Menor"),CONCATENATE("R9C",'Mapa final'!$Q$60),"")</f>
        <v/>
      </c>
      <c r="V54" s="54" t="str">
        <f>IF(AND('Mapa final'!$AA$55="Muy Baja",'Mapa final'!$AC$55="Moderado"),CONCATENATE("R9C",'Mapa final'!$Q$55),"")</f>
        <v/>
      </c>
      <c r="W54" s="55" t="str">
        <f>IF(AND('Mapa final'!$AA$56="Muy Baja",'Mapa final'!$AC$56="Moderado"),CONCATENATE("R9C",'Mapa final'!$Q$56),"")</f>
        <v/>
      </c>
      <c r="X54" s="55" t="str">
        <f>IF(AND('Mapa final'!$AA$57="Muy Baja",'Mapa final'!$AC$57="Moderado"),CONCATENATE("R9C",'Mapa final'!$Q$57),"")</f>
        <v/>
      </c>
      <c r="Y54" s="55" t="str">
        <f>IF(AND('Mapa final'!$AA$58="Muy Baja",'Mapa final'!$AC$58="Moderado"),CONCATENATE("R9C",'Mapa final'!$Q$58),"")</f>
        <v/>
      </c>
      <c r="Z54" s="55" t="str">
        <f>IF(AND('Mapa final'!$AA$59="Muy Baja",'Mapa final'!$AC$59="Moderado"),CONCATENATE("R9C",'Mapa final'!$Q$59),"")</f>
        <v/>
      </c>
      <c r="AA54" s="56" t="str">
        <f>IF(AND('Mapa final'!$AA$60="Muy Baja",'Mapa final'!$AC$60="Moderado"),CONCATENATE("R9C",'Mapa final'!$Q$60),"")</f>
        <v/>
      </c>
      <c r="AB54" s="38" t="str">
        <f>IF(AND('Mapa final'!$AA$55="Muy Baja",'Mapa final'!$AC$55="Mayor"),CONCATENATE("R9C",'Mapa final'!$Q$55),"")</f>
        <v/>
      </c>
      <c r="AC54" s="39" t="str">
        <f>IF(AND('Mapa final'!$AA$56="Muy Baja",'Mapa final'!$AC$56="Mayor"),CONCATENATE("R9C",'Mapa final'!$Q$56),"")</f>
        <v/>
      </c>
      <c r="AD54" s="44" t="str">
        <f>IF(AND('Mapa final'!$AA$57="Muy Baja",'Mapa final'!$AC$57="Mayor"),CONCATENATE("R9C",'Mapa final'!$Q$57),"")</f>
        <v/>
      </c>
      <c r="AE54" s="44" t="str">
        <f>IF(AND('Mapa final'!$AA$58="Muy Baja",'Mapa final'!$AC$58="Mayor"),CONCATENATE("R9C",'Mapa final'!$Q$58),"")</f>
        <v/>
      </c>
      <c r="AF54" s="44" t="str">
        <f>IF(AND('Mapa final'!$AA$59="Muy Baja",'Mapa final'!$AC$59="Mayor"),CONCATENATE("R9C",'Mapa final'!$Q$59),"")</f>
        <v/>
      </c>
      <c r="AG54" s="40" t="str">
        <f>IF(AND('Mapa final'!$AA$60="Muy Baja",'Mapa final'!$AC$60="Mayor"),CONCATENATE("R9C",'Mapa final'!$Q$60),"")</f>
        <v/>
      </c>
      <c r="AH54" s="41" t="str">
        <f>IF(AND('Mapa final'!$AA$55="Muy Baja",'Mapa final'!$AC$55="Catastrófico"),CONCATENATE("R9C",'Mapa final'!$Q$55),"")</f>
        <v/>
      </c>
      <c r="AI54" s="42" t="str">
        <f>IF(AND('Mapa final'!$AA$56="Muy Baja",'Mapa final'!$AC$56="Catastrófico"),CONCATENATE("R9C",'Mapa final'!$Q$56),"")</f>
        <v/>
      </c>
      <c r="AJ54" s="42" t="str">
        <f>IF(AND('Mapa final'!$AA$57="Muy Baja",'Mapa final'!$AC$57="Catastrófico"),CONCATENATE("R9C",'Mapa final'!$Q$57),"")</f>
        <v/>
      </c>
      <c r="AK54" s="42" t="str">
        <f>IF(AND('Mapa final'!$AA$58="Muy Baja",'Mapa final'!$AC$58="Catastrófico"),CONCATENATE("R9C",'Mapa final'!$Q$58),"")</f>
        <v/>
      </c>
      <c r="AL54" s="42" t="str">
        <f>IF(AND('Mapa final'!$AA$59="Muy Baja",'Mapa final'!$AC$59="Catastrófico"),CONCATENATE("R9C",'Mapa final'!$Q$59),"")</f>
        <v/>
      </c>
      <c r="AM54" s="43" t="str">
        <f>IF(AND('Mapa final'!$AA$60="Muy Baja",'Mapa final'!$AC$60="Catastrófico"),CONCATENATE("R9C",'Mapa final'!$Q$60),"")</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81"/>
      <c r="C55" s="281"/>
      <c r="D55" s="282"/>
      <c r="E55" s="325"/>
      <c r="F55" s="326"/>
      <c r="G55" s="326"/>
      <c r="H55" s="326"/>
      <c r="I55" s="327"/>
      <c r="J55" s="66" t="str">
        <f>IF(AND('Mapa final'!$AA$61="Muy Baja",'Mapa final'!$AC$61="Leve"),CONCATENATE("R10C",'Mapa final'!$Q$61),"")</f>
        <v/>
      </c>
      <c r="K55" s="67" t="str">
        <f>IF(AND('Mapa final'!$AA$62="Muy Baja",'Mapa final'!$AC$62="Leve"),CONCATENATE("R10C",'Mapa final'!$Q$62),"")</f>
        <v/>
      </c>
      <c r="L55" s="67" t="str">
        <f>IF(AND('Mapa final'!$AA$63="Muy Baja",'Mapa final'!$AC$63="Leve"),CONCATENATE("R10C",'Mapa final'!$Q$63),"")</f>
        <v/>
      </c>
      <c r="M55" s="67" t="str">
        <f>IF(AND('Mapa final'!$AA$64="Muy Baja",'Mapa final'!$AC$64="Leve"),CONCATENATE("R10C",'Mapa final'!$Q$64),"")</f>
        <v/>
      </c>
      <c r="N55" s="67" t="str">
        <f>IF(AND('Mapa final'!$AA$65="Muy Baja",'Mapa final'!$AC$65="Leve"),CONCATENATE("R10C",'Mapa final'!$Q$65),"")</f>
        <v/>
      </c>
      <c r="O55" s="68" t="str">
        <f>IF(AND('Mapa final'!$AA$66="Muy Baja",'Mapa final'!$AC$66="Leve"),CONCATENATE("R10C",'Mapa final'!$Q$66),"")</f>
        <v/>
      </c>
      <c r="P55" s="66" t="str">
        <f>IF(AND('Mapa final'!$AA$61="Muy Baja",'Mapa final'!$AC$61="Menor"),CONCATENATE("R10C",'Mapa final'!$Q$61),"")</f>
        <v/>
      </c>
      <c r="Q55" s="67" t="str">
        <f>IF(AND('Mapa final'!$AA$62="Muy Baja",'Mapa final'!$AC$62="Menor"),CONCATENATE("R10C",'Mapa final'!$Q$62),"")</f>
        <v/>
      </c>
      <c r="R55" s="67" t="str">
        <f>IF(AND('Mapa final'!$AA$63="Muy Baja",'Mapa final'!$AC$63="Menor"),CONCATENATE("R10C",'Mapa final'!$Q$63),"")</f>
        <v/>
      </c>
      <c r="S55" s="67" t="str">
        <f>IF(AND('Mapa final'!$AA$64="Muy Baja",'Mapa final'!$AC$64="Menor"),CONCATENATE("R10C",'Mapa final'!$Q$64),"")</f>
        <v/>
      </c>
      <c r="T55" s="67" t="str">
        <f>IF(AND('Mapa final'!$AA$65="Muy Baja",'Mapa final'!$AC$65="Menor"),CONCATENATE("R10C",'Mapa final'!$Q$65),"")</f>
        <v/>
      </c>
      <c r="U55" s="68" t="str">
        <f>IF(AND('Mapa final'!$AA$66="Muy Baja",'Mapa final'!$AC$66="Menor"),CONCATENATE("R10C",'Mapa final'!$Q$66),"")</f>
        <v/>
      </c>
      <c r="V55" s="57" t="str">
        <f>IF(AND('Mapa final'!$AA$61="Muy Baja",'Mapa final'!$AC$61="Moderado"),CONCATENATE("R10C",'Mapa final'!$Q$61),"")</f>
        <v/>
      </c>
      <c r="W55" s="58" t="str">
        <f>IF(AND('Mapa final'!$AA$62="Muy Baja",'Mapa final'!$AC$62="Moderado"),CONCATENATE("R10C",'Mapa final'!$Q$62),"")</f>
        <v/>
      </c>
      <c r="X55" s="58" t="str">
        <f>IF(AND('Mapa final'!$AA$63="Muy Baja",'Mapa final'!$AC$63="Moderado"),CONCATENATE("R10C",'Mapa final'!$Q$63),"")</f>
        <v/>
      </c>
      <c r="Y55" s="58" t="str">
        <f>IF(AND('Mapa final'!$AA$64="Muy Baja",'Mapa final'!$AC$64="Moderado"),CONCATENATE("R10C",'Mapa final'!$Q$64),"")</f>
        <v/>
      </c>
      <c r="Z55" s="58" t="str">
        <f>IF(AND('Mapa final'!$AA$65="Muy Baja",'Mapa final'!$AC$65="Moderado"),CONCATENATE("R10C",'Mapa final'!$Q$65),"")</f>
        <v/>
      </c>
      <c r="AA55" s="59" t="str">
        <f>IF(AND('Mapa final'!$AA$66="Muy Baja",'Mapa final'!$AC$66="Moderado"),CONCATENATE("R10C",'Mapa final'!$Q$66),"")</f>
        <v/>
      </c>
      <c r="AB55" s="45" t="str">
        <f>IF(AND('Mapa final'!$AA$61="Muy Baja",'Mapa final'!$AC$61="Mayor"),CONCATENATE("R10C",'Mapa final'!$Q$61),"")</f>
        <v/>
      </c>
      <c r="AC55" s="46" t="str">
        <f>IF(AND('Mapa final'!$AA$62="Muy Baja",'Mapa final'!$AC$62="Mayor"),CONCATENATE("R10C",'Mapa final'!$Q$62),"")</f>
        <v/>
      </c>
      <c r="AD55" s="46" t="str">
        <f>IF(AND('Mapa final'!$AA$63="Muy Baja",'Mapa final'!$AC$63="Mayor"),CONCATENATE("R10C",'Mapa final'!$Q$63),"")</f>
        <v/>
      </c>
      <c r="AE55" s="46" t="str">
        <f>IF(AND('Mapa final'!$AA$64="Muy Baja",'Mapa final'!$AC$64="Mayor"),CONCATENATE("R10C",'Mapa final'!$Q$64),"")</f>
        <v/>
      </c>
      <c r="AF55" s="46" t="str">
        <f>IF(AND('Mapa final'!$AA$65="Muy Baja",'Mapa final'!$AC$65="Mayor"),CONCATENATE("R10C",'Mapa final'!$Q$65),"")</f>
        <v/>
      </c>
      <c r="AG55" s="47" t="str">
        <f>IF(AND('Mapa final'!$AA$66="Muy Baja",'Mapa final'!$AC$66="Mayor"),CONCATENATE("R10C",'Mapa final'!$Q$66),"")</f>
        <v/>
      </c>
      <c r="AH55" s="48" t="str">
        <f>IF(AND('Mapa final'!$AA$61="Muy Baja",'Mapa final'!$AC$61="Catastrófico"),CONCATENATE("R10C",'Mapa final'!$Q$61),"")</f>
        <v/>
      </c>
      <c r="AI55" s="49" t="str">
        <f>IF(AND('Mapa final'!$AA$62="Muy Baja",'Mapa final'!$AC$62="Catastrófico"),CONCATENATE("R10C",'Mapa final'!$Q$62),"")</f>
        <v/>
      </c>
      <c r="AJ55" s="49" t="str">
        <f>IF(AND('Mapa final'!$AA$63="Muy Baja",'Mapa final'!$AC$63="Catastrófico"),CONCATENATE("R10C",'Mapa final'!$Q$63),"")</f>
        <v/>
      </c>
      <c r="AK55" s="49" t="str">
        <f>IF(AND('Mapa final'!$AA$64="Muy Baja",'Mapa final'!$AC$64="Catastrófico"),CONCATENATE("R10C",'Mapa final'!$Q$64),"")</f>
        <v/>
      </c>
      <c r="AL55" s="49" t="str">
        <f>IF(AND('Mapa final'!$AA$65="Muy Baja",'Mapa final'!$AC$65="Catastrófico"),CONCATENATE("R10C",'Mapa final'!$Q$65),"")</f>
        <v/>
      </c>
      <c r="AM55" s="50" t="str">
        <f>IF(AND('Mapa final'!$AA$66="Muy Baja",'Mapa final'!$AC$66="Catastrófico"),CONCATENATE("R10C",'Mapa final'!$Q$66),"")</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19" t="s">
        <v>108</v>
      </c>
      <c r="K56" s="320"/>
      <c r="L56" s="320"/>
      <c r="M56" s="320"/>
      <c r="N56" s="320"/>
      <c r="O56" s="321"/>
      <c r="P56" s="319" t="s">
        <v>107</v>
      </c>
      <c r="Q56" s="320"/>
      <c r="R56" s="320"/>
      <c r="S56" s="320"/>
      <c r="T56" s="320"/>
      <c r="U56" s="321"/>
      <c r="V56" s="319" t="s">
        <v>106</v>
      </c>
      <c r="W56" s="320"/>
      <c r="X56" s="320"/>
      <c r="Y56" s="320"/>
      <c r="Z56" s="320"/>
      <c r="AA56" s="321"/>
      <c r="AB56" s="319" t="s">
        <v>105</v>
      </c>
      <c r="AC56" s="328"/>
      <c r="AD56" s="320"/>
      <c r="AE56" s="320"/>
      <c r="AF56" s="320"/>
      <c r="AG56" s="321"/>
      <c r="AH56" s="319" t="s">
        <v>104</v>
      </c>
      <c r="AI56" s="320"/>
      <c r="AJ56" s="320"/>
      <c r="AK56" s="320"/>
      <c r="AL56" s="320"/>
      <c r="AM56" s="321"/>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22"/>
      <c r="K57" s="323"/>
      <c r="L57" s="323"/>
      <c r="M57" s="323"/>
      <c r="N57" s="323"/>
      <c r="O57" s="324"/>
      <c r="P57" s="322"/>
      <c r="Q57" s="323"/>
      <c r="R57" s="323"/>
      <c r="S57" s="323"/>
      <c r="T57" s="323"/>
      <c r="U57" s="324"/>
      <c r="V57" s="322"/>
      <c r="W57" s="323"/>
      <c r="X57" s="323"/>
      <c r="Y57" s="323"/>
      <c r="Z57" s="323"/>
      <c r="AA57" s="324"/>
      <c r="AB57" s="322"/>
      <c r="AC57" s="323"/>
      <c r="AD57" s="323"/>
      <c r="AE57" s="323"/>
      <c r="AF57" s="323"/>
      <c r="AG57" s="324"/>
      <c r="AH57" s="322"/>
      <c r="AI57" s="323"/>
      <c r="AJ57" s="323"/>
      <c r="AK57" s="323"/>
      <c r="AL57" s="323"/>
      <c r="AM57" s="324"/>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22"/>
      <c r="K58" s="323"/>
      <c r="L58" s="323"/>
      <c r="M58" s="323"/>
      <c r="N58" s="323"/>
      <c r="O58" s="324"/>
      <c r="P58" s="322"/>
      <c r="Q58" s="323"/>
      <c r="R58" s="323"/>
      <c r="S58" s="323"/>
      <c r="T58" s="323"/>
      <c r="U58" s="324"/>
      <c r="V58" s="322"/>
      <c r="W58" s="323"/>
      <c r="X58" s="323"/>
      <c r="Y58" s="323"/>
      <c r="Z58" s="323"/>
      <c r="AA58" s="324"/>
      <c r="AB58" s="322"/>
      <c r="AC58" s="323"/>
      <c r="AD58" s="323"/>
      <c r="AE58" s="323"/>
      <c r="AF58" s="323"/>
      <c r="AG58" s="324"/>
      <c r="AH58" s="322"/>
      <c r="AI58" s="323"/>
      <c r="AJ58" s="323"/>
      <c r="AK58" s="323"/>
      <c r="AL58" s="323"/>
      <c r="AM58" s="324"/>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22"/>
      <c r="K59" s="323"/>
      <c r="L59" s="323"/>
      <c r="M59" s="323"/>
      <c r="N59" s="323"/>
      <c r="O59" s="324"/>
      <c r="P59" s="322"/>
      <c r="Q59" s="323"/>
      <c r="R59" s="323"/>
      <c r="S59" s="323"/>
      <c r="T59" s="323"/>
      <c r="U59" s="324"/>
      <c r="V59" s="322"/>
      <c r="W59" s="323"/>
      <c r="X59" s="323"/>
      <c r="Y59" s="323"/>
      <c r="Z59" s="323"/>
      <c r="AA59" s="324"/>
      <c r="AB59" s="322"/>
      <c r="AC59" s="323"/>
      <c r="AD59" s="323"/>
      <c r="AE59" s="323"/>
      <c r="AF59" s="323"/>
      <c r="AG59" s="324"/>
      <c r="AH59" s="322"/>
      <c r="AI59" s="323"/>
      <c r="AJ59" s="323"/>
      <c r="AK59" s="323"/>
      <c r="AL59" s="323"/>
      <c r="AM59" s="324"/>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22"/>
      <c r="K60" s="323"/>
      <c r="L60" s="323"/>
      <c r="M60" s="323"/>
      <c r="N60" s="323"/>
      <c r="O60" s="324"/>
      <c r="P60" s="322"/>
      <c r="Q60" s="323"/>
      <c r="R60" s="323"/>
      <c r="S60" s="323"/>
      <c r="T60" s="323"/>
      <c r="U60" s="324"/>
      <c r="V60" s="322"/>
      <c r="W60" s="323"/>
      <c r="X60" s="323"/>
      <c r="Y60" s="323"/>
      <c r="Z60" s="323"/>
      <c r="AA60" s="324"/>
      <c r="AB60" s="322"/>
      <c r="AC60" s="323"/>
      <c r="AD60" s="323"/>
      <c r="AE60" s="323"/>
      <c r="AF60" s="323"/>
      <c r="AG60" s="324"/>
      <c r="AH60" s="322"/>
      <c r="AI60" s="323"/>
      <c r="AJ60" s="323"/>
      <c r="AK60" s="323"/>
      <c r="AL60" s="323"/>
      <c r="AM60" s="324"/>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25"/>
      <c r="K61" s="326"/>
      <c r="L61" s="326"/>
      <c r="M61" s="326"/>
      <c r="N61" s="326"/>
      <c r="O61" s="327"/>
      <c r="P61" s="325"/>
      <c r="Q61" s="326"/>
      <c r="R61" s="326"/>
      <c r="S61" s="326"/>
      <c r="T61" s="326"/>
      <c r="U61" s="327"/>
      <c r="V61" s="325"/>
      <c r="W61" s="326"/>
      <c r="X61" s="326"/>
      <c r="Y61" s="326"/>
      <c r="Z61" s="326"/>
      <c r="AA61" s="327"/>
      <c r="AB61" s="325"/>
      <c r="AC61" s="326"/>
      <c r="AD61" s="326"/>
      <c r="AE61" s="326"/>
      <c r="AF61" s="326"/>
      <c r="AG61" s="327"/>
      <c r="AH61" s="325"/>
      <c r="AI61" s="326"/>
      <c r="AJ61" s="326"/>
      <c r="AK61" s="326"/>
      <c r="AL61" s="326"/>
      <c r="AM61" s="327"/>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55"/>
  <sheetViews>
    <sheetView zoomScale="90" zoomScaleNormal="90" workbookViewId="0">
      <selection activeCell="D5" sqref="D5"/>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69" t="s">
        <v>51</v>
      </c>
      <c r="C1" s="369"/>
      <c r="D1" s="369"/>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48</v>
      </c>
      <c r="D3" s="4" t="s">
        <v>3</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47</v>
      </c>
      <c r="C4" s="6" t="s">
        <v>98</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49</v>
      </c>
      <c r="C5" s="9" t="s">
        <v>99</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103</v>
      </c>
      <c r="C6" s="9" t="s">
        <v>100</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5</v>
      </c>
      <c r="C7" s="9" t="s">
        <v>101</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50</v>
      </c>
      <c r="C8" s="9" t="s">
        <v>102</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2"/>
      <c r="C9" s="92"/>
      <c r="D9" s="92"/>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3"/>
      <c r="C10" s="92"/>
      <c r="D10" s="92"/>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2"/>
      <c r="C11" s="92"/>
      <c r="D11" s="92"/>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2"/>
      <c r="C12" s="92"/>
      <c r="D12" s="9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2"/>
      <c r="C13" s="92"/>
      <c r="D13" s="92"/>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2"/>
      <c r="C14" s="92"/>
      <c r="D14" s="92"/>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2"/>
      <c r="C15" s="92"/>
      <c r="D15" s="92"/>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2"/>
      <c r="C16" s="92"/>
      <c r="D16" s="92"/>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2"/>
      <c r="C17" s="92"/>
      <c r="D17" s="92"/>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2"/>
      <c r="C18" s="92"/>
      <c r="D18" s="92"/>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232"/>
  <sheetViews>
    <sheetView zoomScale="40" zoomScaleNormal="40" workbookViewId="0">
      <selection activeCell="D4" sqref="D4"/>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370" t="s">
        <v>59</v>
      </c>
      <c r="C1" s="370"/>
      <c r="D1" s="370"/>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9"/>
      <c r="C3" s="22" t="s">
        <v>52</v>
      </c>
      <c r="D3" s="22" t="s">
        <v>53</v>
      </c>
      <c r="E3" s="70"/>
      <c r="F3" s="70"/>
      <c r="G3" s="70"/>
      <c r="H3" s="70"/>
      <c r="I3" s="70"/>
      <c r="J3" s="70"/>
      <c r="K3" s="70"/>
      <c r="L3" s="70"/>
      <c r="M3" s="70"/>
      <c r="N3" s="70"/>
      <c r="O3" s="70"/>
      <c r="P3" s="70"/>
      <c r="Q3" s="70"/>
      <c r="R3" s="70"/>
      <c r="S3" s="70"/>
      <c r="T3" s="70"/>
      <c r="U3" s="70"/>
    </row>
    <row r="4" spans="1:21" ht="33.75" x14ac:dyDescent="0.25">
      <c r="A4" s="88" t="s">
        <v>79</v>
      </c>
      <c r="B4" s="25" t="s">
        <v>97</v>
      </c>
      <c r="C4" s="30" t="s">
        <v>151</v>
      </c>
      <c r="D4" s="23" t="s">
        <v>93</v>
      </c>
      <c r="E4" s="70"/>
      <c r="F4" s="70"/>
      <c r="G4" s="70"/>
      <c r="H4" s="70"/>
      <c r="I4" s="70"/>
      <c r="J4" s="70"/>
      <c r="K4" s="70"/>
      <c r="L4" s="70"/>
      <c r="M4" s="70"/>
      <c r="N4" s="70"/>
      <c r="O4" s="70"/>
      <c r="P4" s="70"/>
      <c r="Q4" s="70"/>
      <c r="R4" s="70"/>
      <c r="S4" s="70"/>
      <c r="T4" s="70"/>
      <c r="U4" s="70"/>
    </row>
    <row r="5" spans="1:21" ht="67.5" x14ac:dyDescent="0.25">
      <c r="A5" s="88" t="s">
        <v>80</v>
      </c>
      <c r="B5" s="26" t="s">
        <v>55</v>
      </c>
      <c r="C5" s="31" t="s">
        <v>89</v>
      </c>
      <c r="D5" s="24" t="s">
        <v>94</v>
      </c>
      <c r="E5" s="70"/>
      <c r="F5" s="70"/>
      <c r="G5" s="70"/>
      <c r="H5" s="70"/>
      <c r="I5" s="70"/>
      <c r="J5" s="70"/>
      <c r="K5" s="70"/>
      <c r="L5" s="70"/>
      <c r="M5" s="70"/>
      <c r="N5" s="70"/>
      <c r="O5" s="70"/>
      <c r="P5" s="70"/>
      <c r="Q5" s="70"/>
      <c r="R5" s="70"/>
      <c r="S5" s="70"/>
      <c r="T5" s="70"/>
      <c r="U5" s="70"/>
    </row>
    <row r="6" spans="1:21" ht="67.5" x14ac:dyDescent="0.25">
      <c r="A6" s="88" t="s">
        <v>77</v>
      </c>
      <c r="B6" s="27" t="s">
        <v>56</v>
      </c>
      <c r="C6" s="31" t="s">
        <v>90</v>
      </c>
      <c r="D6" s="24" t="s">
        <v>96</v>
      </c>
      <c r="E6" s="70"/>
      <c r="F6" s="70"/>
      <c r="G6" s="70"/>
      <c r="H6" s="70"/>
      <c r="I6" s="70"/>
      <c r="J6" s="70"/>
      <c r="K6" s="70"/>
      <c r="L6" s="70"/>
      <c r="M6" s="70"/>
      <c r="N6" s="70"/>
      <c r="O6" s="70"/>
      <c r="P6" s="70"/>
      <c r="Q6" s="70"/>
      <c r="R6" s="70"/>
      <c r="S6" s="70"/>
      <c r="T6" s="70"/>
      <c r="U6" s="70"/>
    </row>
    <row r="7" spans="1:21" ht="101.25" x14ac:dyDescent="0.25">
      <c r="A7" s="88" t="s">
        <v>6</v>
      </c>
      <c r="B7" s="28" t="s">
        <v>57</v>
      </c>
      <c r="C7" s="31" t="s">
        <v>91</v>
      </c>
      <c r="D7" s="24" t="s">
        <v>95</v>
      </c>
      <c r="E7" s="70"/>
      <c r="F7" s="70"/>
      <c r="G7" s="70"/>
      <c r="H7" s="70"/>
      <c r="I7" s="70"/>
      <c r="J7" s="70"/>
      <c r="K7" s="70"/>
      <c r="L7" s="70"/>
      <c r="M7" s="70"/>
      <c r="N7" s="70"/>
      <c r="O7" s="70"/>
      <c r="P7" s="70"/>
      <c r="Q7" s="70"/>
      <c r="R7" s="70"/>
      <c r="S7" s="70"/>
      <c r="T7" s="70"/>
      <c r="U7" s="70"/>
    </row>
    <row r="8" spans="1:21" ht="67.5" x14ac:dyDescent="0.25">
      <c r="A8" s="88" t="s">
        <v>81</v>
      </c>
      <c r="B8" s="29" t="s">
        <v>58</v>
      </c>
      <c r="C8" s="31" t="s">
        <v>92</v>
      </c>
      <c r="D8" s="24" t="s">
        <v>114</v>
      </c>
      <c r="E8" s="70"/>
      <c r="F8" s="70"/>
      <c r="G8" s="70"/>
      <c r="H8" s="70"/>
      <c r="I8" s="70"/>
      <c r="J8" s="70"/>
      <c r="K8" s="70"/>
      <c r="L8" s="70"/>
      <c r="M8" s="70"/>
      <c r="N8" s="70"/>
      <c r="O8" s="70"/>
      <c r="P8" s="70"/>
      <c r="Q8" s="70"/>
      <c r="R8" s="70"/>
      <c r="S8" s="70"/>
      <c r="T8" s="70"/>
      <c r="U8" s="70"/>
    </row>
    <row r="9" spans="1:21" ht="20.25" x14ac:dyDescent="0.25">
      <c r="A9" s="88"/>
      <c r="B9" s="88"/>
      <c r="C9" s="90"/>
      <c r="D9" s="90"/>
      <c r="E9" s="70"/>
      <c r="F9" s="70"/>
      <c r="G9" s="70"/>
      <c r="H9" s="70"/>
      <c r="I9" s="70"/>
      <c r="J9" s="70"/>
      <c r="K9" s="70"/>
      <c r="L9" s="70"/>
      <c r="M9" s="70"/>
      <c r="N9" s="70"/>
      <c r="O9" s="70"/>
      <c r="P9" s="70"/>
      <c r="Q9" s="70"/>
      <c r="R9" s="70"/>
      <c r="S9" s="70"/>
      <c r="T9" s="70"/>
      <c r="U9" s="70"/>
    </row>
    <row r="10" spans="1:21" ht="16.5" x14ac:dyDescent="0.25">
      <c r="A10" s="88"/>
      <c r="B10" s="91"/>
      <c r="C10" s="91"/>
      <c r="D10" s="91"/>
      <c r="E10" s="70"/>
      <c r="F10" s="70"/>
      <c r="G10" s="70"/>
      <c r="H10" s="70"/>
      <c r="I10" s="70"/>
      <c r="J10" s="70"/>
      <c r="K10" s="70"/>
      <c r="L10" s="70"/>
      <c r="M10" s="70"/>
      <c r="N10" s="70"/>
      <c r="O10" s="70"/>
      <c r="P10" s="70"/>
      <c r="Q10" s="70"/>
      <c r="R10" s="70"/>
      <c r="S10" s="70"/>
      <c r="T10" s="70"/>
      <c r="U10" s="70"/>
    </row>
    <row r="11" spans="1:21" x14ac:dyDescent="0.25">
      <c r="A11" s="88"/>
      <c r="B11" s="88" t="s">
        <v>87</v>
      </c>
      <c r="C11" s="88" t="s">
        <v>139</v>
      </c>
      <c r="D11" s="88" t="s">
        <v>146</v>
      </c>
      <c r="E11" s="70"/>
      <c r="F11" s="70"/>
      <c r="G11" s="70"/>
      <c r="H11" s="70"/>
      <c r="I11" s="70"/>
      <c r="J11" s="70"/>
      <c r="K11" s="70"/>
      <c r="L11" s="70"/>
      <c r="M11" s="70"/>
      <c r="N11" s="70"/>
      <c r="O11" s="70"/>
      <c r="P11" s="70"/>
      <c r="Q11" s="70"/>
      <c r="R11" s="70"/>
      <c r="S11" s="70"/>
      <c r="T11" s="70"/>
      <c r="U11" s="70"/>
    </row>
    <row r="12" spans="1:21" x14ac:dyDescent="0.25">
      <c r="A12" s="88"/>
      <c r="B12" s="88" t="s">
        <v>85</v>
      </c>
      <c r="C12" s="88" t="s">
        <v>143</v>
      </c>
      <c r="D12" s="88" t="s">
        <v>147</v>
      </c>
      <c r="E12" s="70"/>
      <c r="F12" s="70"/>
      <c r="G12" s="70"/>
      <c r="H12" s="70"/>
      <c r="I12" s="70"/>
      <c r="J12" s="70"/>
      <c r="K12" s="70"/>
      <c r="L12" s="70"/>
      <c r="M12" s="70"/>
      <c r="N12" s="70"/>
      <c r="O12" s="70"/>
      <c r="P12" s="70"/>
      <c r="Q12" s="70"/>
      <c r="R12" s="70"/>
      <c r="S12" s="70"/>
      <c r="T12" s="70"/>
      <c r="U12" s="70"/>
    </row>
    <row r="13" spans="1:21" x14ac:dyDescent="0.25">
      <c r="A13" s="88"/>
      <c r="B13" s="88"/>
      <c r="C13" s="88" t="s">
        <v>142</v>
      </c>
      <c r="D13" s="88" t="s">
        <v>148</v>
      </c>
      <c r="E13" s="70"/>
      <c r="F13" s="70"/>
      <c r="G13" s="70"/>
      <c r="H13" s="70"/>
      <c r="I13" s="70"/>
      <c r="J13" s="70"/>
      <c r="K13" s="70"/>
      <c r="L13" s="70"/>
      <c r="M13" s="70"/>
      <c r="N13" s="70"/>
      <c r="O13" s="70"/>
      <c r="P13" s="70"/>
      <c r="Q13" s="70"/>
      <c r="R13" s="70"/>
      <c r="S13" s="70"/>
      <c r="T13" s="70"/>
      <c r="U13" s="70"/>
    </row>
    <row r="14" spans="1:21" x14ac:dyDescent="0.25">
      <c r="A14" s="88"/>
      <c r="B14" s="88"/>
      <c r="C14" s="88" t="s">
        <v>144</v>
      </c>
      <c r="D14" s="88" t="s">
        <v>149</v>
      </c>
      <c r="E14" s="70"/>
      <c r="F14" s="70"/>
      <c r="G14" s="70"/>
      <c r="H14" s="70"/>
      <c r="I14" s="70"/>
      <c r="J14" s="70"/>
      <c r="K14" s="70"/>
      <c r="L14" s="70"/>
      <c r="M14" s="70"/>
      <c r="N14" s="70"/>
      <c r="O14" s="70"/>
      <c r="P14" s="70"/>
      <c r="Q14" s="70"/>
      <c r="R14" s="70"/>
      <c r="S14" s="70"/>
      <c r="T14" s="70"/>
      <c r="U14" s="70"/>
    </row>
    <row r="15" spans="1:21" x14ac:dyDescent="0.25">
      <c r="A15" s="88"/>
      <c r="B15" s="88"/>
      <c r="C15" s="88" t="s">
        <v>145</v>
      </c>
      <c r="D15" s="88" t="s">
        <v>150</v>
      </c>
      <c r="E15" s="70"/>
      <c r="F15" s="70"/>
      <c r="G15" s="70"/>
      <c r="H15" s="70"/>
      <c r="I15" s="70"/>
      <c r="J15" s="70"/>
      <c r="K15" s="70"/>
      <c r="L15" s="70"/>
      <c r="M15" s="70"/>
      <c r="N15" s="70"/>
      <c r="O15" s="70"/>
      <c r="P15" s="70"/>
      <c r="Q15" s="70"/>
      <c r="R15" s="70"/>
      <c r="S15" s="70"/>
      <c r="T15" s="70"/>
      <c r="U15" s="70"/>
    </row>
    <row r="16" spans="1:21" x14ac:dyDescent="0.25">
      <c r="A16" s="88"/>
      <c r="B16" s="88"/>
      <c r="C16" s="88"/>
      <c r="D16" s="88"/>
      <c r="E16" s="70"/>
      <c r="F16" s="70"/>
      <c r="G16" s="70"/>
      <c r="H16" s="70"/>
      <c r="I16" s="70"/>
      <c r="J16" s="70"/>
      <c r="K16" s="70"/>
      <c r="L16" s="70"/>
      <c r="M16" s="70"/>
      <c r="N16" s="70"/>
      <c r="O16" s="70"/>
    </row>
    <row r="17" spans="1:15" x14ac:dyDescent="0.25">
      <c r="A17" s="88"/>
      <c r="B17" s="88"/>
      <c r="C17" s="88"/>
      <c r="D17" s="88"/>
      <c r="E17" s="70"/>
      <c r="F17" s="70"/>
      <c r="G17" s="70"/>
      <c r="H17" s="70"/>
      <c r="I17" s="70"/>
      <c r="J17" s="70"/>
      <c r="K17" s="70"/>
      <c r="L17" s="70"/>
      <c r="M17" s="70"/>
      <c r="N17" s="70"/>
      <c r="O17" s="70"/>
    </row>
    <row r="18" spans="1:15" x14ac:dyDescent="0.25">
      <c r="A18" s="88"/>
      <c r="B18" s="92"/>
      <c r="C18" s="92"/>
      <c r="D18" s="92"/>
      <c r="E18" s="70"/>
      <c r="F18" s="70"/>
      <c r="G18" s="70"/>
      <c r="H18" s="70"/>
      <c r="I18" s="70"/>
      <c r="J18" s="70"/>
      <c r="K18" s="70"/>
      <c r="L18" s="70"/>
      <c r="M18" s="70"/>
      <c r="N18" s="70"/>
      <c r="O18" s="70"/>
    </row>
    <row r="19" spans="1:15" x14ac:dyDescent="0.25">
      <c r="A19" s="88"/>
      <c r="B19" s="92"/>
      <c r="C19" s="92"/>
      <c r="D19" s="92"/>
      <c r="E19" s="70"/>
      <c r="F19" s="70"/>
      <c r="G19" s="70"/>
      <c r="H19" s="70"/>
      <c r="I19" s="70"/>
      <c r="J19" s="70"/>
      <c r="K19" s="70"/>
      <c r="L19" s="70"/>
      <c r="M19" s="70"/>
      <c r="N19" s="70"/>
      <c r="O19" s="70"/>
    </row>
    <row r="20" spans="1:15" x14ac:dyDescent="0.25">
      <c r="A20" s="88"/>
      <c r="B20" s="92"/>
      <c r="C20" s="92"/>
      <c r="D20" s="92"/>
      <c r="E20" s="70"/>
      <c r="F20" s="70"/>
      <c r="G20" s="70"/>
      <c r="H20" s="70"/>
      <c r="I20" s="70"/>
      <c r="J20" s="70"/>
      <c r="K20" s="70"/>
      <c r="L20" s="70"/>
      <c r="M20" s="70"/>
      <c r="N20" s="70"/>
      <c r="O20" s="70"/>
    </row>
    <row r="21" spans="1:15" x14ac:dyDescent="0.25">
      <c r="A21" s="88"/>
      <c r="B21" s="92"/>
      <c r="C21" s="92"/>
      <c r="D21" s="92"/>
      <c r="E21" s="70"/>
      <c r="F21" s="70"/>
      <c r="G21" s="70"/>
      <c r="H21" s="70"/>
      <c r="I21" s="70"/>
      <c r="J21" s="70"/>
      <c r="K21" s="70"/>
      <c r="L21" s="70"/>
      <c r="M21" s="70"/>
      <c r="N21" s="70"/>
      <c r="O21" s="70"/>
    </row>
    <row r="22" spans="1:15" ht="20.25" x14ac:dyDescent="0.25">
      <c r="A22" s="88"/>
      <c r="B22" s="88"/>
      <c r="C22" s="90"/>
      <c r="D22" s="90"/>
      <c r="E22" s="70"/>
      <c r="F22" s="70"/>
      <c r="G22" s="70"/>
      <c r="H22" s="70"/>
      <c r="I22" s="70"/>
      <c r="J22" s="70"/>
      <c r="K22" s="70"/>
      <c r="L22" s="70"/>
      <c r="M22" s="70"/>
      <c r="N22" s="70"/>
      <c r="O22" s="70"/>
    </row>
    <row r="23" spans="1:15" ht="20.25" x14ac:dyDescent="0.25">
      <c r="A23" s="88"/>
      <c r="B23" s="88"/>
      <c r="C23" s="90"/>
      <c r="D23" s="90"/>
      <c r="E23" s="70"/>
      <c r="F23" s="70"/>
      <c r="G23" s="70"/>
      <c r="H23" s="70"/>
      <c r="I23" s="70"/>
      <c r="J23" s="70"/>
      <c r="K23" s="70"/>
      <c r="L23" s="70"/>
      <c r="M23" s="70"/>
      <c r="N23" s="70"/>
      <c r="O23" s="70"/>
    </row>
    <row r="24" spans="1:15" ht="20.25" x14ac:dyDescent="0.25">
      <c r="A24" s="88"/>
      <c r="B24" s="88"/>
      <c r="C24" s="90"/>
      <c r="D24" s="90"/>
      <c r="E24" s="70"/>
      <c r="F24" s="70"/>
      <c r="G24" s="70"/>
      <c r="H24" s="70"/>
      <c r="I24" s="70"/>
      <c r="J24" s="70"/>
      <c r="K24" s="70"/>
      <c r="L24" s="70"/>
      <c r="M24" s="70"/>
      <c r="N24" s="70"/>
      <c r="O24" s="70"/>
    </row>
    <row r="25" spans="1:15" ht="20.25" x14ac:dyDescent="0.25">
      <c r="A25" s="88"/>
      <c r="B25" s="88"/>
      <c r="C25" s="90"/>
      <c r="D25" s="90"/>
      <c r="E25" s="70"/>
      <c r="F25" s="70"/>
      <c r="G25" s="70"/>
      <c r="H25" s="70"/>
      <c r="I25" s="70"/>
      <c r="J25" s="70"/>
      <c r="K25" s="70"/>
      <c r="L25" s="70"/>
      <c r="M25" s="70"/>
      <c r="N25" s="70"/>
      <c r="O25" s="70"/>
    </row>
    <row r="26" spans="1:15" ht="20.25" x14ac:dyDescent="0.25">
      <c r="A26" s="88"/>
      <c r="B26" s="88"/>
      <c r="C26" s="90"/>
      <c r="D26" s="90"/>
      <c r="E26" s="70"/>
      <c r="F26" s="70"/>
      <c r="G26" s="70"/>
      <c r="H26" s="70"/>
      <c r="I26" s="70"/>
      <c r="J26" s="70"/>
      <c r="K26" s="70"/>
      <c r="L26" s="70"/>
      <c r="M26" s="70"/>
      <c r="N26" s="70"/>
      <c r="O26" s="70"/>
    </row>
    <row r="27" spans="1:15" ht="20.25" x14ac:dyDescent="0.25">
      <c r="A27" s="88"/>
      <c r="B27" s="88"/>
      <c r="C27" s="90"/>
      <c r="D27" s="90"/>
      <c r="E27" s="70"/>
      <c r="F27" s="70"/>
      <c r="G27" s="70"/>
      <c r="H27" s="70"/>
      <c r="I27" s="70"/>
      <c r="J27" s="70"/>
      <c r="K27" s="70"/>
      <c r="L27" s="70"/>
      <c r="M27" s="70"/>
      <c r="N27" s="70"/>
      <c r="O27" s="70"/>
    </row>
    <row r="28" spans="1:15" ht="20.25" x14ac:dyDescent="0.25">
      <c r="A28" s="88"/>
      <c r="B28" s="88"/>
      <c r="C28" s="90"/>
      <c r="D28" s="90"/>
      <c r="E28" s="70"/>
      <c r="F28" s="70"/>
      <c r="G28" s="70"/>
      <c r="H28" s="70"/>
      <c r="I28" s="70"/>
      <c r="J28" s="70"/>
      <c r="K28" s="70"/>
      <c r="L28" s="70"/>
      <c r="M28" s="70"/>
      <c r="N28" s="70"/>
      <c r="O28" s="70"/>
    </row>
    <row r="29" spans="1:15" ht="20.25" x14ac:dyDescent="0.25">
      <c r="A29" s="88"/>
      <c r="B29" s="88"/>
      <c r="C29" s="90"/>
      <c r="D29" s="90"/>
      <c r="E29" s="70"/>
      <c r="F29" s="70"/>
      <c r="G29" s="70"/>
      <c r="H29" s="70"/>
      <c r="I29" s="70"/>
      <c r="J29" s="70"/>
      <c r="K29" s="70"/>
      <c r="L29" s="70"/>
      <c r="M29" s="70"/>
      <c r="N29" s="70"/>
      <c r="O29" s="70"/>
    </row>
    <row r="30" spans="1:15" ht="20.25" x14ac:dyDescent="0.25">
      <c r="A30" s="88"/>
      <c r="B30" s="88"/>
      <c r="C30" s="90"/>
      <c r="D30" s="90"/>
      <c r="E30" s="70"/>
      <c r="F30" s="70"/>
      <c r="G30" s="70"/>
      <c r="H30" s="70"/>
      <c r="I30" s="70"/>
      <c r="J30" s="70"/>
      <c r="K30" s="70"/>
      <c r="L30" s="70"/>
      <c r="M30" s="70"/>
      <c r="N30" s="70"/>
      <c r="O30" s="70"/>
    </row>
    <row r="31" spans="1:15" ht="20.25" x14ac:dyDescent="0.25">
      <c r="A31" s="88"/>
      <c r="B31" s="88"/>
      <c r="C31" s="90"/>
      <c r="D31" s="90"/>
      <c r="E31" s="70"/>
      <c r="F31" s="70"/>
      <c r="G31" s="70"/>
      <c r="H31" s="70"/>
      <c r="I31" s="70"/>
      <c r="J31" s="70"/>
      <c r="K31" s="70"/>
      <c r="L31" s="70"/>
      <c r="M31" s="70"/>
      <c r="N31" s="70"/>
      <c r="O31" s="70"/>
    </row>
    <row r="32" spans="1:15" ht="20.25" x14ac:dyDescent="0.25">
      <c r="A32" s="88"/>
      <c r="B32" s="88"/>
      <c r="C32" s="90"/>
      <c r="D32" s="90"/>
      <c r="E32" s="70"/>
      <c r="F32" s="70"/>
      <c r="G32" s="70"/>
      <c r="H32" s="70"/>
      <c r="I32" s="70"/>
      <c r="J32" s="70"/>
      <c r="K32" s="70"/>
      <c r="L32" s="70"/>
      <c r="M32" s="70"/>
      <c r="N32" s="70"/>
      <c r="O32" s="70"/>
    </row>
    <row r="33" spans="1:15" ht="20.25" x14ac:dyDescent="0.25">
      <c r="A33" s="88"/>
      <c r="B33" s="88"/>
      <c r="C33" s="90"/>
      <c r="D33" s="90"/>
      <c r="E33" s="70"/>
      <c r="F33" s="70"/>
      <c r="G33" s="70"/>
      <c r="H33" s="70"/>
      <c r="I33" s="70"/>
      <c r="J33" s="70"/>
      <c r="K33" s="70"/>
      <c r="L33" s="70"/>
      <c r="M33" s="70"/>
      <c r="N33" s="70"/>
      <c r="O33" s="70"/>
    </row>
    <row r="34" spans="1:15" ht="20.25" x14ac:dyDescent="0.25">
      <c r="A34" s="88"/>
      <c r="B34" s="88"/>
      <c r="C34" s="90"/>
      <c r="D34" s="90"/>
      <c r="E34" s="70"/>
      <c r="F34" s="70"/>
      <c r="G34" s="70"/>
      <c r="H34" s="70"/>
      <c r="I34" s="70"/>
      <c r="J34" s="70"/>
      <c r="K34" s="70"/>
      <c r="L34" s="70"/>
      <c r="M34" s="70"/>
      <c r="N34" s="70"/>
      <c r="O34" s="70"/>
    </row>
    <row r="35" spans="1:15" ht="20.25" x14ac:dyDescent="0.25">
      <c r="A35" s="88"/>
      <c r="B35" s="88"/>
      <c r="C35" s="90"/>
      <c r="D35" s="90"/>
      <c r="E35" s="70"/>
      <c r="F35" s="70"/>
      <c r="G35" s="70"/>
      <c r="H35" s="70"/>
      <c r="I35" s="70"/>
      <c r="J35" s="70"/>
      <c r="K35" s="70"/>
      <c r="L35" s="70"/>
      <c r="M35" s="70"/>
      <c r="N35" s="70"/>
      <c r="O35" s="70"/>
    </row>
    <row r="36" spans="1:15" ht="20.25" x14ac:dyDescent="0.25">
      <c r="A36" s="88"/>
      <c r="B36" s="88"/>
      <c r="C36" s="90"/>
      <c r="D36" s="90"/>
      <c r="E36" s="70"/>
      <c r="F36" s="70"/>
      <c r="G36" s="70"/>
      <c r="H36" s="70"/>
      <c r="I36" s="70"/>
      <c r="J36" s="70"/>
      <c r="K36" s="70"/>
      <c r="L36" s="70"/>
      <c r="M36" s="70"/>
      <c r="N36" s="70"/>
      <c r="O36" s="70"/>
    </row>
    <row r="37" spans="1:15" ht="20.25" x14ac:dyDescent="0.25">
      <c r="A37" s="88"/>
      <c r="B37" s="88"/>
      <c r="C37" s="90"/>
      <c r="D37" s="90"/>
      <c r="E37" s="70"/>
      <c r="F37" s="70"/>
      <c r="G37" s="70"/>
      <c r="H37" s="70"/>
      <c r="I37" s="70"/>
      <c r="J37" s="70"/>
      <c r="K37" s="70"/>
      <c r="L37" s="70"/>
      <c r="M37" s="70"/>
      <c r="N37" s="70"/>
      <c r="O37" s="70"/>
    </row>
    <row r="38" spans="1:15" ht="20.25" x14ac:dyDescent="0.25">
      <c r="A38" s="88"/>
      <c r="B38" s="88"/>
      <c r="C38" s="90"/>
      <c r="D38" s="90"/>
      <c r="E38" s="70"/>
      <c r="F38" s="70"/>
      <c r="G38" s="70"/>
      <c r="H38" s="70"/>
      <c r="I38" s="70"/>
      <c r="J38" s="70"/>
      <c r="K38" s="70"/>
      <c r="L38" s="70"/>
      <c r="M38" s="70"/>
      <c r="N38" s="70"/>
      <c r="O38" s="70"/>
    </row>
    <row r="39" spans="1:15" ht="20.25" x14ac:dyDescent="0.25">
      <c r="A39" s="88"/>
      <c r="B39" s="88"/>
      <c r="C39" s="90"/>
      <c r="D39" s="90"/>
      <c r="E39" s="70"/>
      <c r="F39" s="70"/>
      <c r="G39" s="70"/>
      <c r="H39" s="70"/>
      <c r="I39" s="70"/>
      <c r="J39" s="70"/>
      <c r="K39" s="70"/>
      <c r="L39" s="70"/>
      <c r="M39" s="70"/>
      <c r="N39" s="70"/>
      <c r="O39" s="70"/>
    </row>
    <row r="40" spans="1:15" ht="20.25" x14ac:dyDescent="0.25">
      <c r="A40" s="88"/>
      <c r="B40" s="88"/>
      <c r="C40" s="90"/>
      <c r="D40" s="90"/>
      <c r="E40" s="70"/>
      <c r="F40" s="70"/>
      <c r="G40" s="70"/>
      <c r="H40" s="70"/>
      <c r="I40" s="70"/>
      <c r="J40" s="70"/>
      <c r="K40" s="70"/>
      <c r="L40" s="70"/>
      <c r="M40" s="70"/>
      <c r="N40" s="70"/>
      <c r="O40" s="70"/>
    </row>
    <row r="41" spans="1:15" ht="20.25" x14ac:dyDescent="0.25">
      <c r="A41" s="88"/>
      <c r="B41" s="88"/>
      <c r="C41" s="90"/>
      <c r="D41" s="90"/>
      <c r="E41" s="70"/>
      <c r="F41" s="70"/>
      <c r="G41" s="70"/>
      <c r="H41" s="70"/>
      <c r="I41" s="70"/>
      <c r="J41" s="70"/>
      <c r="K41" s="70"/>
      <c r="L41" s="70"/>
      <c r="M41" s="70"/>
      <c r="N41" s="70"/>
      <c r="O41" s="70"/>
    </row>
    <row r="42" spans="1:15" ht="20.25" x14ac:dyDescent="0.25">
      <c r="A42" s="88"/>
      <c r="B42" s="88"/>
      <c r="C42" s="90"/>
      <c r="D42" s="90"/>
      <c r="E42" s="70"/>
      <c r="F42" s="70"/>
      <c r="G42" s="70"/>
      <c r="H42" s="70"/>
      <c r="I42" s="70"/>
      <c r="J42" s="70"/>
      <c r="K42" s="70"/>
      <c r="L42" s="70"/>
      <c r="M42" s="70"/>
      <c r="N42" s="70"/>
      <c r="O42" s="70"/>
    </row>
    <row r="43" spans="1:15" ht="20.25" x14ac:dyDescent="0.25">
      <c r="A43" s="88"/>
      <c r="B43" s="88"/>
      <c r="C43" s="90"/>
      <c r="D43" s="90"/>
      <c r="E43" s="70"/>
      <c r="F43" s="70"/>
      <c r="G43" s="70"/>
      <c r="H43" s="70"/>
      <c r="I43" s="70"/>
      <c r="J43" s="70"/>
      <c r="K43" s="70"/>
      <c r="L43" s="70"/>
      <c r="M43" s="70"/>
      <c r="N43" s="70"/>
      <c r="O43" s="70"/>
    </row>
    <row r="44" spans="1:15" ht="20.25" x14ac:dyDescent="0.25">
      <c r="A44" s="88"/>
      <c r="B44" s="88"/>
      <c r="C44" s="90"/>
      <c r="D44" s="90"/>
      <c r="E44" s="70"/>
      <c r="F44" s="70"/>
      <c r="G44" s="70"/>
      <c r="H44" s="70"/>
      <c r="I44" s="70"/>
      <c r="J44" s="70"/>
      <c r="K44" s="70"/>
      <c r="L44" s="70"/>
      <c r="M44" s="70"/>
      <c r="N44" s="70"/>
      <c r="O44" s="70"/>
    </row>
    <row r="45" spans="1:15" ht="20.25" x14ac:dyDescent="0.25">
      <c r="A45" s="88"/>
      <c r="B45" s="88"/>
      <c r="C45" s="90"/>
      <c r="D45" s="90"/>
      <c r="E45" s="70"/>
      <c r="F45" s="70"/>
      <c r="G45" s="70"/>
      <c r="H45" s="70"/>
      <c r="I45" s="70"/>
      <c r="J45" s="70"/>
      <c r="K45" s="70"/>
      <c r="L45" s="70"/>
      <c r="M45" s="70"/>
      <c r="N45" s="70"/>
      <c r="O45" s="70"/>
    </row>
    <row r="46" spans="1:15" ht="20.25" x14ac:dyDescent="0.25">
      <c r="A46" s="88"/>
      <c r="B46" s="88"/>
      <c r="C46" s="90"/>
      <c r="D46" s="90"/>
      <c r="E46" s="70"/>
      <c r="F46" s="70"/>
      <c r="G46" s="70"/>
      <c r="H46" s="70"/>
      <c r="I46" s="70"/>
      <c r="J46" s="70"/>
      <c r="K46" s="70"/>
      <c r="L46" s="70"/>
      <c r="M46" s="70"/>
      <c r="N46" s="70"/>
      <c r="O46" s="70"/>
    </row>
    <row r="47" spans="1:15" ht="20.25" x14ac:dyDescent="0.25">
      <c r="A47" s="88"/>
      <c r="B47" s="88"/>
      <c r="C47" s="90"/>
      <c r="D47" s="90"/>
      <c r="E47" s="70"/>
      <c r="F47" s="70"/>
      <c r="G47" s="70"/>
      <c r="H47" s="70"/>
      <c r="I47" s="70"/>
      <c r="J47" s="70"/>
      <c r="K47" s="70"/>
      <c r="L47" s="70"/>
      <c r="M47" s="70"/>
      <c r="N47" s="70"/>
      <c r="O47" s="70"/>
    </row>
    <row r="48" spans="1:15" ht="20.25" x14ac:dyDescent="0.25">
      <c r="A48" s="88"/>
      <c r="B48" s="88"/>
      <c r="C48" s="90"/>
      <c r="D48" s="90"/>
      <c r="E48" s="70"/>
      <c r="F48" s="70"/>
      <c r="G48" s="70"/>
      <c r="H48" s="70"/>
      <c r="I48" s="70"/>
      <c r="J48" s="70"/>
      <c r="K48" s="70"/>
      <c r="L48" s="70"/>
      <c r="M48" s="70"/>
      <c r="N48" s="70"/>
      <c r="O48" s="70"/>
    </row>
    <row r="49" spans="1:15" ht="20.25" x14ac:dyDescent="0.25">
      <c r="A49" s="88"/>
      <c r="B49" s="88"/>
      <c r="C49" s="90"/>
      <c r="D49" s="90"/>
      <c r="E49" s="70"/>
      <c r="F49" s="70"/>
      <c r="G49" s="70"/>
      <c r="H49" s="70"/>
      <c r="I49" s="70"/>
      <c r="J49" s="70"/>
      <c r="K49" s="70"/>
      <c r="L49" s="70"/>
      <c r="M49" s="70"/>
      <c r="N49" s="70"/>
      <c r="O49" s="70"/>
    </row>
    <row r="50" spans="1:15" ht="20.25" x14ac:dyDescent="0.25">
      <c r="A50" s="88"/>
      <c r="B50" s="88"/>
      <c r="C50" s="90"/>
      <c r="D50" s="90"/>
      <c r="E50" s="70"/>
      <c r="F50" s="70"/>
      <c r="G50" s="70"/>
      <c r="H50" s="70"/>
      <c r="I50" s="70"/>
      <c r="J50" s="70"/>
      <c r="K50" s="70"/>
      <c r="L50" s="70"/>
      <c r="M50" s="70"/>
      <c r="N50" s="70"/>
      <c r="O50" s="70"/>
    </row>
    <row r="51" spans="1:15" ht="20.25" x14ac:dyDescent="0.25">
      <c r="A51" s="88"/>
      <c r="B51" s="88"/>
      <c r="C51" s="90"/>
      <c r="D51" s="90"/>
      <c r="E51" s="70"/>
      <c r="F51" s="70"/>
      <c r="G51" s="70"/>
      <c r="H51" s="70"/>
      <c r="I51" s="70"/>
      <c r="J51" s="70"/>
      <c r="K51" s="70"/>
      <c r="L51" s="70"/>
      <c r="M51" s="70"/>
      <c r="N51" s="70"/>
      <c r="O51" s="70"/>
    </row>
    <row r="52" spans="1:15" ht="20.25" x14ac:dyDescent="0.25">
      <c r="A52" s="88"/>
      <c r="B52" s="15"/>
      <c r="C52" s="20"/>
      <c r="D52" s="20"/>
    </row>
    <row r="53" spans="1:15" ht="20.25" x14ac:dyDescent="0.25">
      <c r="A53" s="88"/>
      <c r="B53" s="15"/>
      <c r="C53" s="20"/>
      <c r="D53" s="20"/>
    </row>
    <row r="54" spans="1:15" ht="20.25" x14ac:dyDescent="0.25">
      <c r="A54" s="88"/>
      <c r="B54" s="15"/>
      <c r="C54" s="20"/>
      <c r="D54" s="20"/>
    </row>
    <row r="55" spans="1:15" ht="20.25" x14ac:dyDescent="0.25">
      <c r="A55" s="88"/>
      <c r="B55" s="15"/>
      <c r="C55" s="20"/>
      <c r="D55" s="20"/>
    </row>
    <row r="56" spans="1:15" ht="20.25" x14ac:dyDescent="0.25">
      <c r="A56" s="88"/>
      <c r="B56" s="15"/>
      <c r="C56" s="20"/>
      <c r="D56" s="20"/>
    </row>
    <row r="57" spans="1:15" ht="20.25" x14ac:dyDescent="0.25">
      <c r="A57" s="88"/>
      <c r="B57" s="15"/>
      <c r="C57" s="20"/>
      <c r="D57" s="20"/>
    </row>
    <row r="58" spans="1:15" ht="20.25" x14ac:dyDescent="0.25">
      <c r="A58" s="88"/>
      <c r="B58" s="15"/>
      <c r="C58" s="20"/>
      <c r="D58" s="20"/>
    </row>
    <row r="59" spans="1:15" ht="20.25" x14ac:dyDescent="0.25">
      <c r="A59" s="88"/>
      <c r="B59" s="15"/>
      <c r="C59" s="20"/>
      <c r="D59" s="20"/>
    </row>
    <row r="60" spans="1:15" ht="20.25" x14ac:dyDescent="0.25">
      <c r="A60" s="88"/>
      <c r="B60" s="15"/>
      <c r="C60" s="20"/>
      <c r="D60" s="20"/>
    </row>
    <row r="61" spans="1:15" ht="20.25" x14ac:dyDescent="0.25">
      <c r="A61" s="88"/>
      <c r="B61" s="15"/>
      <c r="C61" s="20"/>
      <c r="D61" s="20"/>
    </row>
    <row r="62" spans="1:15" ht="20.25" x14ac:dyDescent="0.25">
      <c r="A62" s="88"/>
      <c r="B62" s="15"/>
      <c r="C62" s="20"/>
      <c r="D62" s="20"/>
    </row>
    <row r="63" spans="1:15" ht="20.25" x14ac:dyDescent="0.25">
      <c r="A63" s="88"/>
      <c r="B63" s="15"/>
      <c r="C63" s="20"/>
      <c r="D63" s="20"/>
    </row>
    <row r="64" spans="1:15" ht="20.25" x14ac:dyDescent="0.25">
      <c r="A64" s="88"/>
      <c r="B64" s="15"/>
      <c r="C64" s="20"/>
      <c r="D64" s="20"/>
    </row>
    <row r="65" spans="1:4" ht="20.25" x14ac:dyDescent="0.25">
      <c r="A65" s="88"/>
      <c r="B65" s="15"/>
      <c r="C65" s="20"/>
      <c r="D65" s="20"/>
    </row>
    <row r="66" spans="1:4" ht="20.25" x14ac:dyDescent="0.25">
      <c r="A66" s="88"/>
      <c r="B66" s="15"/>
      <c r="C66" s="20"/>
      <c r="D66" s="20"/>
    </row>
    <row r="67" spans="1:4" ht="20.25" x14ac:dyDescent="0.25">
      <c r="A67" s="88"/>
      <c r="B67" s="15"/>
      <c r="C67" s="20"/>
      <c r="D67" s="20"/>
    </row>
    <row r="68" spans="1:4" ht="20.25" x14ac:dyDescent="0.25">
      <c r="A68" s="88"/>
      <c r="B68" s="15"/>
      <c r="C68" s="20"/>
      <c r="D68" s="20"/>
    </row>
    <row r="69" spans="1:4" ht="20.25" x14ac:dyDescent="0.25">
      <c r="A69" s="88"/>
      <c r="B69" s="15"/>
      <c r="C69" s="20"/>
      <c r="D69" s="20"/>
    </row>
    <row r="70" spans="1:4" ht="20.25" x14ac:dyDescent="0.25">
      <c r="A70" s="88"/>
      <c r="B70" s="15"/>
      <c r="C70" s="20"/>
      <c r="D70" s="20"/>
    </row>
    <row r="71" spans="1:4" ht="20.25" x14ac:dyDescent="0.25">
      <c r="A71" s="88"/>
      <c r="B71" s="15"/>
      <c r="C71" s="20"/>
      <c r="D71" s="20"/>
    </row>
    <row r="72" spans="1:4" ht="20.25" x14ac:dyDescent="0.25">
      <c r="A72" s="88"/>
      <c r="B72" s="15"/>
      <c r="C72" s="20"/>
      <c r="D72" s="20"/>
    </row>
    <row r="73" spans="1:4" ht="20.25" x14ac:dyDescent="0.25">
      <c r="A73" s="88"/>
      <c r="B73" s="15"/>
      <c r="C73" s="20"/>
      <c r="D73" s="20"/>
    </row>
    <row r="74" spans="1:4" ht="20.25" x14ac:dyDescent="0.25">
      <c r="A74" s="88"/>
      <c r="B74" s="15"/>
      <c r="C74" s="20"/>
      <c r="D74" s="20"/>
    </row>
    <row r="75" spans="1:4" ht="20.25" x14ac:dyDescent="0.25">
      <c r="A75" s="88"/>
      <c r="B75" s="15"/>
      <c r="C75" s="20"/>
      <c r="D75" s="20"/>
    </row>
    <row r="76" spans="1:4" ht="20.25" x14ac:dyDescent="0.25">
      <c r="A76" s="88"/>
      <c r="B76" s="15"/>
      <c r="C76" s="20"/>
      <c r="D76" s="20"/>
    </row>
    <row r="77" spans="1:4" ht="20.25" x14ac:dyDescent="0.25">
      <c r="A77" s="88"/>
      <c r="B77" s="15"/>
      <c r="C77" s="20"/>
      <c r="D77" s="20"/>
    </row>
    <row r="78" spans="1:4" ht="20.25" x14ac:dyDescent="0.25">
      <c r="A78" s="88"/>
      <c r="B78" s="15"/>
      <c r="C78" s="20"/>
      <c r="D78" s="20"/>
    </row>
    <row r="79" spans="1:4" ht="20.25" x14ac:dyDescent="0.25">
      <c r="A79" s="88"/>
      <c r="B79" s="15"/>
      <c r="C79" s="20"/>
      <c r="D79" s="20"/>
    </row>
    <row r="80" spans="1:4" ht="20.25" x14ac:dyDescent="0.25">
      <c r="A80" s="88"/>
      <c r="B80" s="15"/>
      <c r="C80" s="20"/>
      <c r="D80" s="20"/>
    </row>
    <row r="81" spans="1:4" ht="20.25" x14ac:dyDescent="0.25">
      <c r="A81" s="88"/>
      <c r="B81" s="15"/>
      <c r="C81" s="20"/>
      <c r="D81" s="20"/>
    </row>
    <row r="82" spans="1:4" ht="20.25" x14ac:dyDescent="0.25">
      <c r="A82" s="88"/>
      <c r="B82" s="15"/>
      <c r="C82" s="20"/>
      <c r="D82" s="20"/>
    </row>
    <row r="83" spans="1:4" ht="20.25" x14ac:dyDescent="0.25">
      <c r="A83" s="88"/>
      <c r="B83" s="15"/>
      <c r="C83" s="20"/>
      <c r="D83" s="20"/>
    </row>
    <row r="84" spans="1:4" ht="20.25" x14ac:dyDescent="0.25">
      <c r="A84" s="88"/>
      <c r="B84" s="15"/>
      <c r="C84" s="20"/>
      <c r="D84" s="20"/>
    </row>
    <row r="85" spans="1:4" ht="20.25" x14ac:dyDescent="0.25">
      <c r="A85" s="88"/>
      <c r="B85" s="15"/>
      <c r="C85" s="20"/>
      <c r="D85" s="20"/>
    </row>
    <row r="86" spans="1:4" ht="20.25" x14ac:dyDescent="0.25">
      <c r="A86" s="88"/>
      <c r="B86" s="15"/>
      <c r="C86" s="20"/>
      <c r="D86" s="20"/>
    </row>
    <row r="87" spans="1:4" ht="20.25" x14ac:dyDescent="0.25">
      <c r="A87" s="88"/>
      <c r="B87" s="15"/>
      <c r="C87" s="20"/>
      <c r="D87" s="20"/>
    </row>
    <row r="88" spans="1:4" ht="20.25" x14ac:dyDescent="0.25">
      <c r="A88" s="88"/>
      <c r="B88" s="15"/>
      <c r="C88" s="20"/>
      <c r="D88" s="20"/>
    </row>
    <row r="89" spans="1:4" ht="20.25" x14ac:dyDescent="0.25">
      <c r="A89" s="88"/>
      <c r="B89" s="15"/>
      <c r="C89" s="20"/>
      <c r="D89" s="20"/>
    </row>
    <row r="90" spans="1:4" ht="20.25" x14ac:dyDescent="0.25">
      <c r="A90" s="88"/>
      <c r="B90" s="15"/>
      <c r="C90" s="20"/>
      <c r="D90" s="20"/>
    </row>
    <row r="91" spans="1:4" ht="20.25" x14ac:dyDescent="0.25">
      <c r="A91" s="88"/>
      <c r="B91" s="15"/>
      <c r="C91" s="20"/>
      <c r="D91" s="20"/>
    </row>
    <row r="92" spans="1:4" ht="20.25" x14ac:dyDescent="0.25">
      <c r="A92" s="88"/>
      <c r="B92" s="15"/>
      <c r="C92" s="20"/>
      <c r="D92" s="20"/>
    </row>
    <row r="93" spans="1:4" ht="20.25" x14ac:dyDescent="0.25">
      <c r="A93" s="88"/>
      <c r="B93" s="15"/>
      <c r="C93" s="20"/>
      <c r="D93" s="20"/>
    </row>
    <row r="94" spans="1:4" ht="20.25" x14ac:dyDescent="0.25">
      <c r="A94" s="88"/>
      <c r="B94" s="15"/>
      <c r="C94" s="20"/>
      <c r="D94" s="20"/>
    </row>
    <row r="95" spans="1:4" ht="20.25" x14ac:dyDescent="0.25">
      <c r="A95" s="88"/>
      <c r="B95" s="15"/>
      <c r="C95" s="20"/>
      <c r="D95" s="20"/>
    </row>
    <row r="96" spans="1:4" ht="20.25" x14ac:dyDescent="0.25">
      <c r="A96" s="88"/>
      <c r="B96" s="15"/>
      <c r="C96" s="20"/>
      <c r="D96" s="20"/>
    </row>
    <row r="97" spans="1:4" ht="20.25" x14ac:dyDescent="0.25">
      <c r="A97" s="88"/>
      <c r="B97" s="15"/>
      <c r="C97" s="20"/>
      <c r="D97" s="20"/>
    </row>
    <row r="98" spans="1:4" ht="20.25" x14ac:dyDescent="0.25">
      <c r="A98" s="88"/>
      <c r="B98" s="15"/>
      <c r="C98" s="20"/>
      <c r="D98" s="20"/>
    </row>
    <row r="99" spans="1:4" ht="20.25" x14ac:dyDescent="0.25">
      <c r="A99" s="88"/>
      <c r="B99" s="15"/>
      <c r="C99" s="20"/>
      <c r="D99" s="20"/>
    </row>
    <row r="100" spans="1:4" ht="20.25" x14ac:dyDescent="0.25">
      <c r="A100" s="88"/>
      <c r="B100" s="15"/>
      <c r="C100" s="20"/>
      <c r="D100" s="20"/>
    </row>
    <row r="101" spans="1:4" ht="20.25" x14ac:dyDescent="0.25">
      <c r="A101" s="88"/>
      <c r="B101" s="15"/>
      <c r="C101" s="20"/>
      <c r="D101" s="20"/>
    </row>
    <row r="102" spans="1:4" ht="20.25" x14ac:dyDescent="0.25">
      <c r="A102" s="88"/>
      <c r="B102" s="15"/>
      <c r="C102" s="20"/>
      <c r="D102" s="20"/>
    </row>
    <row r="103" spans="1:4" ht="20.25" x14ac:dyDescent="0.25">
      <c r="A103" s="88"/>
      <c r="B103" s="15"/>
      <c r="C103" s="20"/>
      <c r="D103" s="20"/>
    </row>
    <row r="104" spans="1:4" ht="20.25" x14ac:dyDescent="0.25">
      <c r="A104" s="88"/>
      <c r="B104" s="15"/>
      <c r="C104" s="20"/>
      <c r="D104" s="20"/>
    </row>
    <row r="105" spans="1:4" ht="20.25" x14ac:dyDescent="0.25">
      <c r="A105" s="88"/>
      <c r="B105" s="15"/>
      <c r="C105" s="20"/>
      <c r="D105" s="20"/>
    </row>
    <row r="106" spans="1:4" ht="20.25" x14ac:dyDescent="0.25">
      <c r="A106" s="88"/>
      <c r="B106" s="15"/>
      <c r="C106" s="20"/>
      <c r="D106" s="20"/>
    </row>
    <row r="107" spans="1:4" ht="20.25" x14ac:dyDescent="0.25">
      <c r="A107" s="88"/>
      <c r="B107" s="15"/>
      <c r="C107" s="20"/>
      <c r="D107" s="20"/>
    </row>
    <row r="108" spans="1:4" ht="20.25" x14ac:dyDescent="0.25">
      <c r="A108" s="88"/>
      <c r="B108" s="15"/>
      <c r="C108" s="20"/>
      <c r="D108" s="20"/>
    </row>
    <row r="109" spans="1:4" ht="20.25" x14ac:dyDescent="0.25">
      <c r="A109" s="88"/>
      <c r="B109" s="15"/>
      <c r="C109" s="20"/>
      <c r="D109" s="20"/>
    </row>
    <row r="110" spans="1:4" ht="20.25" x14ac:dyDescent="0.25">
      <c r="A110" s="88"/>
      <c r="B110" s="15"/>
      <c r="C110" s="20"/>
      <c r="D110" s="20"/>
    </row>
    <row r="111" spans="1:4" ht="20.25" x14ac:dyDescent="0.25">
      <c r="A111" s="88"/>
      <c r="B111" s="15"/>
      <c r="C111" s="20"/>
      <c r="D111" s="20"/>
    </row>
    <row r="112" spans="1:4" ht="20.25" x14ac:dyDescent="0.25">
      <c r="A112" s="88"/>
      <c r="B112" s="15"/>
      <c r="C112" s="20"/>
      <c r="D112" s="20"/>
    </row>
    <row r="113" spans="1:4" ht="20.25" x14ac:dyDescent="0.25">
      <c r="A113" s="88"/>
      <c r="B113" s="15"/>
      <c r="C113" s="20"/>
      <c r="D113" s="20"/>
    </row>
    <row r="114" spans="1:4" ht="20.25" x14ac:dyDescent="0.25">
      <c r="A114" s="88"/>
      <c r="B114" s="15"/>
      <c r="C114" s="20"/>
      <c r="D114" s="20"/>
    </row>
    <row r="115" spans="1:4" ht="20.25" x14ac:dyDescent="0.25">
      <c r="A115" s="88"/>
      <c r="B115" s="15"/>
      <c r="C115" s="20"/>
      <c r="D115" s="20"/>
    </row>
    <row r="116" spans="1:4" ht="20.25" x14ac:dyDescent="0.25">
      <c r="A116" s="88"/>
      <c r="B116" s="15"/>
      <c r="C116" s="20"/>
      <c r="D116" s="20"/>
    </row>
    <row r="117" spans="1:4" ht="20.25" x14ac:dyDescent="0.25">
      <c r="A117" s="88"/>
      <c r="B117" s="15"/>
      <c r="C117" s="20"/>
      <c r="D117" s="20"/>
    </row>
    <row r="118" spans="1:4" ht="20.25" x14ac:dyDescent="0.25">
      <c r="A118" s="88"/>
      <c r="B118" s="15"/>
      <c r="C118" s="20"/>
      <c r="D118" s="20"/>
    </row>
    <row r="119" spans="1:4" ht="20.25" x14ac:dyDescent="0.25">
      <c r="A119" s="88"/>
      <c r="B119" s="15"/>
      <c r="C119" s="20"/>
      <c r="D119" s="20"/>
    </row>
    <row r="120" spans="1:4" ht="20.25" x14ac:dyDescent="0.25">
      <c r="A120" s="88"/>
      <c r="B120" s="15"/>
      <c r="C120" s="20"/>
      <c r="D120" s="20"/>
    </row>
    <row r="121" spans="1:4" ht="20.25" x14ac:dyDescent="0.25">
      <c r="A121" s="88"/>
      <c r="B121" s="15"/>
      <c r="C121" s="20"/>
      <c r="D121" s="20"/>
    </row>
    <row r="122" spans="1:4" ht="20.25" x14ac:dyDescent="0.25">
      <c r="A122" s="88"/>
      <c r="B122" s="15"/>
      <c r="C122" s="20"/>
      <c r="D122" s="20"/>
    </row>
    <row r="123" spans="1:4" ht="20.25" x14ac:dyDescent="0.25">
      <c r="A123" s="88"/>
      <c r="B123" s="15"/>
      <c r="C123" s="20"/>
      <c r="D123" s="20"/>
    </row>
    <row r="124" spans="1:4" ht="20.25" x14ac:dyDescent="0.25">
      <c r="A124" s="88"/>
      <c r="B124" s="15"/>
      <c r="C124" s="20"/>
      <c r="D124" s="20"/>
    </row>
    <row r="125" spans="1:4" ht="20.25" x14ac:dyDescent="0.25">
      <c r="A125" s="88"/>
      <c r="B125" s="15"/>
      <c r="C125" s="20"/>
      <c r="D125" s="20"/>
    </row>
    <row r="126" spans="1:4" ht="20.25" x14ac:dyDescent="0.25">
      <c r="A126" s="88"/>
      <c r="B126" s="15"/>
      <c r="C126" s="20"/>
      <c r="D126" s="20"/>
    </row>
    <row r="127" spans="1:4" ht="20.25" x14ac:dyDescent="0.25">
      <c r="A127" s="88"/>
      <c r="B127" s="15"/>
      <c r="C127" s="20"/>
      <c r="D127" s="20"/>
    </row>
    <row r="128" spans="1:4" ht="20.25" x14ac:dyDescent="0.25">
      <c r="A128" s="88"/>
      <c r="B128" s="15"/>
      <c r="C128" s="20"/>
      <c r="D128" s="20"/>
    </row>
    <row r="129" spans="1:4" ht="20.25" x14ac:dyDescent="0.25">
      <c r="A129" s="88"/>
      <c r="B129" s="15"/>
      <c r="C129" s="20"/>
      <c r="D129" s="20"/>
    </row>
    <row r="130" spans="1:4" ht="20.25" x14ac:dyDescent="0.25">
      <c r="A130" s="88"/>
      <c r="B130" s="15"/>
      <c r="C130" s="20"/>
      <c r="D130" s="20"/>
    </row>
    <row r="131" spans="1:4" ht="20.25" x14ac:dyDescent="0.25">
      <c r="A131" s="88"/>
      <c r="B131" s="15"/>
      <c r="C131" s="20"/>
      <c r="D131" s="20"/>
    </row>
    <row r="132" spans="1:4" ht="20.25" x14ac:dyDescent="0.25">
      <c r="A132" s="88"/>
      <c r="B132" s="15"/>
      <c r="C132" s="20"/>
      <c r="D132" s="20"/>
    </row>
    <row r="133" spans="1:4" ht="20.25" x14ac:dyDescent="0.25">
      <c r="A133" s="88"/>
      <c r="B133" s="15"/>
      <c r="C133" s="20"/>
      <c r="D133" s="20"/>
    </row>
    <row r="134" spans="1:4" ht="20.25" x14ac:dyDescent="0.25">
      <c r="A134" s="88"/>
      <c r="B134" s="15"/>
      <c r="C134" s="20"/>
      <c r="D134" s="20"/>
    </row>
    <row r="135" spans="1:4" ht="20.25" x14ac:dyDescent="0.25">
      <c r="A135" s="88"/>
      <c r="B135" s="15"/>
      <c r="C135" s="20"/>
      <c r="D135" s="20"/>
    </row>
    <row r="136" spans="1:4" ht="20.25" x14ac:dyDescent="0.25">
      <c r="A136" s="88"/>
      <c r="B136" s="15"/>
      <c r="C136" s="20"/>
      <c r="D136" s="20"/>
    </row>
    <row r="137" spans="1:4" ht="20.25" x14ac:dyDescent="0.25">
      <c r="A137" s="88"/>
      <c r="B137" s="15"/>
      <c r="C137" s="20"/>
      <c r="D137" s="20"/>
    </row>
    <row r="138" spans="1:4" ht="20.25" x14ac:dyDescent="0.25">
      <c r="A138" s="88"/>
      <c r="B138" s="15"/>
      <c r="C138" s="20"/>
      <c r="D138" s="20"/>
    </row>
    <row r="139" spans="1:4" ht="20.25" x14ac:dyDescent="0.25">
      <c r="A139" s="88"/>
      <c r="B139" s="15"/>
      <c r="C139" s="20"/>
      <c r="D139" s="20"/>
    </row>
    <row r="140" spans="1:4" ht="20.25" x14ac:dyDescent="0.25">
      <c r="A140" s="88"/>
      <c r="B140" s="15"/>
      <c r="C140" s="20"/>
      <c r="D140" s="20"/>
    </row>
    <row r="141" spans="1:4" ht="20.25" x14ac:dyDescent="0.25">
      <c r="A141" s="88"/>
      <c r="B141" s="15"/>
      <c r="C141" s="20"/>
      <c r="D141" s="20"/>
    </row>
    <row r="142" spans="1:4" ht="20.25" x14ac:dyDescent="0.25">
      <c r="A142" s="88"/>
      <c r="B142" s="15"/>
      <c r="C142" s="20"/>
      <c r="D142" s="20"/>
    </row>
    <row r="143" spans="1:4" ht="20.25" x14ac:dyDescent="0.25">
      <c r="A143" s="88"/>
      <c r="B143" s="15"/>
      <c r="C143" s="20"/>
      <c r="D143" s="20"/>
    </row>
    <row r="144" spans="1:4" ht="20.25" x14ac:dyDescent="0.25">
      <c r="A144" s="88"/>
      <c r="B144" s="15"/>
      <c r="C144" s="20"/>
      <c r="D144" s="20"/>
    </row>
    <row r="145" spans="1:4" ht="20.25" x14ac:dyDescent="0.25">
      <c r="A145" s="88"/>
      <c r="B145" s="15"/>
      <c r="C145" s="20"/>
      <c r="D145" s="20"/>
    </row>
    <row r="146" spans="1:4" ht="20.25" x14ac:dyDescent="0.25">
      <c r="A146" s="88"/>
      <c r="B146" s="15"/>
      <c r="C146" s="20"/>
      <c r="D146" s="20"/>
    </row>
    <row r="147" spans="1:4" ht="20.25" x14ac:dyDescent="0.25">
      <c r="A147" s="88"/>
      <c r="B147" s="15"/>
      <c r="C147" s="20"/>
      <c r="D147" s="20"/>
    </row>
    <row r="148" spans="1:4" ht="20.25" x14ac:dyDescent="0.25">
      <c r="A148" s="88"/>
      <c r="B148" s="15"/>
      <c r="C148" s="20"/>
      <c r="D148" s="20"/>
    </row>
    <row r="149" spans="1:4" ht="20.25" x14ac:dyDescent="0.25">
      <c r="A149" s="88"/>
      <c r="B149" s="15"/>
      <c r="C149" s="20"/>
      <c r="D149" s="20"/>
    </row>
    <row r="150" spans="1:4" ht="20.25" x14ac:dyDescent="0.25">
      <c r="A150" s="88"/>
      <c r="B150" s="15"/>
      <c r="C150" s="20"/>
      <c r="D150" s="20"/>
    </row>
    <row r="151" spans="1:4" ht="20.25" x14ac:dyDescent="0.25">
      <c r="A151" s="88"/>
      <c r="B151" s="15"/>
      <c r="C151" s="20"/>
      <c r="D151" s="20"/>
    </row>
    <row r="152" spans="1:4" ht="20.25" x14ac:dyDescent="0.25">
      <c r="A152" s="88"/>
      <c r="B152" s="15"/>
      <c r="C152" s="20"/>
      <c r="D152" s="20"/>
    </row>
    <row r="153" spans="1:4" ht="20.25" x14ac:dyDescent="0.25">
      <c r="A153" s="88"/>
      <c r="B153" s="15"/>
      <c r="C153" s="20"/>
      <c r="D153" s="20"/>
    </row>
    <row r="154" spans="1:4" ht="20.25" x14ac:dyDescent="0.25">
      <c r="A154" s="88"/>
      <c r="B154" s="15"/>
      <c r="C154" s="20"/>
      <c r="D154" s="20"/>
    </row>
    <row r="155" spans="1:4" ht="20.25" x14ac:dyDescent="0.25">
      <c r="A155" s="88"/>
      <c r="B155" s="15"/>
      <c r="C155" s="20"/>
      <c r="D155" s="20"/>
    </row>
    <row r="156" spans="1:4" ht="20.25" x14ac:dyDescent="0.25">
      <c r="A156" s="88"/>
      <c r="B156" s="15"/>
      <c r="C156" s="20"/>
      <c r="D156" s="20"/>
    </row>
    <row r="157" spans="1:4" ht="20.25" x14ac:dyDescent="0.25">
      <c r="A157" s="88"/>
      <c r="B157" s="15"/>
      <c r="C157" s="20"/>
      <c r="D157" s="20"/>
    </row>
    <row r="158" spans="1:4" ht="20.25" x14ac:dyDescent="0.25">
      <c r="A158" s="88"/>
      <c r="B158" s="15"/>
      <c r="C158" s="20"/>
      <c r="D158" s="20"/>
    </row>
    <row r="159" spans="1:4" ht="20.25" x14ac:dyDescent="0.25">
      <c r="A159" s="88"/>
      <c r="B159" s="15"/>
      <c r="C159" s="20"/>
      <c r="D159" s="20"/>
    </row>
    <row r="160" spans="1:4" ht="20.25" x14ac:dyDescent="0.25">
      <c r="A160" s="88"/>
      <c r="B160" s="15"/>
      <c r="C160" s="20"/>
      <c r="D160" s="20"/>
    </row>
    <row r="161" spans="1:4" ht="20.25" x14ac:dyDescent="0.25">
      <c r="A161" s="88"/>
      <c r="B161" s="15"/>
      <c r="C161" s="20"/>
      <c r="D161" s="20"/>
    </row>
    <row r="162" spans="1:4" ht="20.25" x14ac:dyDescent="0.25">
      <c r="A162" s="88"/>
      <c r="B162" s="15"/>
      <c r="C162" s="20"/>
      <c r="D162" s="20"/>
    </row>
    <row r="163" spans="1:4" ht="20.25" x14ac:dyDescent="0.25">
      <c r="A163" s="88"/>
      <c r="B163" s="15"/>
      <c r="C163" s="20"/>
      <c r="D163" s="20"/>
    </row>
    <row r="164" spans="1:4" ht="20.25" x14ac:dyDescent="0.25">
      <c r="A164" s="88"/>
      <c r="B164" s="15"/>
      <c r="C164" s="20"/>
      <c r="D164" s="20"/>
    </row>
    <row r="165" spans="1:4" ht="20.25" x14ac:dyDescent="0.25">
      <c r="A165" s="88"/>
      <c r="B165" s="15"/>
      <c r="C165" s="20"/>
      <c r="D165" s="20"/>
    </row>
    <row r="166" spans="1:4" ht="20.25" x14ac:dyDescent="0.25">
      <c r="A166" s="88"/>
      <c r="B166" s="15"/>
      <c r="C166" s="20"/>
      <c r="D166" s="20"/>
    </row>
    <row r="167" spans="1:4" ht="20.25" x14ac:dyDescent="0.25">
      <c r="A167" s="88"/>
      <c r="B167" s="15"/>
      <c r="C167" s="20"/>
      <c r="D167" s="20"/>
    </row>
    <row r="168" spans="1:4" ht="20.25" x14ac:dyDescent="0.25">
      <c r="A168" s="88"/>
      <c r="B168" s="15"/>
      <c r="C168" s="20"/>
      <c r="D168" s="20"/>
    </row>
    <row r="169" spans="1:4" ht="20.25" x14ac:dyDescent="0.25">
      <c r="A169" s="88"/>
      <c r="B169" s="15"/>
      <c r="C169" s="20"/>
      <c r="D169" s="20"/>
    </row>
    <row r="170" spans="1:4" ht="20.25" x14ac:dyDescent="0.25">
      <c r="A170" s="88"/>
      <c r="B170" s="15"/>
      <c r="C170" s="20"/>
      <c r="D170" s="20"/>
    </row>
    <row r="171" spans="1:4" ht="20.25" x14ac:dyDescent="0.25">
      <c r="A171" s="88"/>
      <c r="B171" s="15"/>
      <c r="C171" s="20"/>
      <c r="D171" s="20"/>
    </row>
    <row r="172" spans="1:4" ht="20.25" x14ac:dyDescent="0.25">
      <c r="A172" s="88"/>
      <c r="B172" s="15"/>
      <c r="C172" s="20"/>
      <c r="D172" s="20"/>
    </row>
    <row r="173" spans="1:4" ht="20.25" x14ac:dyDescent="0.25">
      <c r="A173" s="88"/>
      <c r="B173" s="15"/>
      <c r="C173" s="20"/>
      <c r="D173" s="20"/>
    </row>
    <row r="174" spans="1:4" ht="20.25" x14ac:dyDescent="0.25">
      <c r="A174" s="88"/>
      <c r="B174" s="15"/>
      <c r="C174" s="20"/>
      <c r="D174" s="20"/>
    </row>
    <row r="175" spans="1:4" ht="20.25" x14ac:dyDescent="0.25">
      <c r="A175" s="88"/>
      <c r="B175" s="15"/>
      <c r="C175" s="20"/>
      <c r="D175" s="20"/>
    </row>
    <row r="176" spans="1:4" ht="20.25" x14ac:dyDescent="0.25">
      <c r="A176" s="88"/>
      <c r="B176" s="15"/>
      <c r="C176" s="20"/>
      <c r="D176" s="20"/>
    </row>
    <row r="177" spans="1:4" ht="20.25" x14ac:dyDescent="0.25">
      <c r="A177" s="88"/>
      <c r="B177" s="15"/>
      <c r="C177" s="20"/>
      <c r="D177" s="20"/>
    </row>
    <row r="178" spans="1:4" ht="20.25" x14ac:dyDescent="0.25">
      <c r="A178" s="88"/>
      <c r="B178" s="15"/>
      <c r="C178" s="20"/>
      <c r="D178" s="20"/>
    </row>
    <row r="179" spans="1:4" ht="20.25" x14ac:dyDescent="0.25">
      <c r="A179" s="88"/>
      <c r="B179" s="15"/>
      <c r="C179" s="20"/>
      <c r="D179" s="20"/>
    </row>
    <row r="180" spans="1:4" ht="20.25" x14ac:dyDescent="0.25">
      <c r="A180" s="88"/>
      <c r="B180" s="15"/>
      <c r="C180" s="20"/>
      <c r="D180" s="20"/>
    </row>
    <row r="181" spans="1:4" ht="20.25" x14ac:dyDescent="0.25">
      <c r="A181" s="88"/>
      <c r="B181" s="15"/>
      <c r="C181" s="20"/>
      <c r="D181" s="20"/>
    </row>
    <row r="182" spans="1:4" ht="20.25" x14ac:dyDescent="0.25">
      <c r="A182" s="88"/>
      <c r="B182" s="15"/>
      <c r="C182" s="20"/>
      <c r="D182" s="20"/>
    </row>
    <row r="183" spans="1:4" ht="20.25" x14ac:dyDescent="0.25">
      <c r="A183" s="88"/>
      <c r="B183" s="15"/>
      <c r="C183" s="20"/>
      <c r="D183" s="20"/>
    </row>
    <row r="184" spans="1:4" ht="20.25" x14ac:dyDescent="0.25">
      <c r="A184" s="88"/>
      <c r="B184" s="15"/>
      <c r="C184" s="20"/>
      <c r="D184" s="20"/>
    </row>
    <row r="185" spans="1:4" ht="20.25" x14ac:dyDescent="0.25">
      <c r="A185" s="88"/>
      <c r="B185" s="15"/>
      <c r="C185" s="20"/>
      <c r="D185" s="20"/>
    </row>
    <row r="186" spans="1:4" ht="20.25" x14ac:dyDescent="0.25">
      <c r="A186" s="88"/>
      <c r="B186" s="15"/>
      <c r="C186" s="20"/>
      <c r="D186" s="20"/>
    </row>
    <row r="187" spans="1:4" ht="20.25" x14ac:dyDescent="0.25">
      <c r="A187" s="88"/>
      <c r="B187" s="15"/>
      <c r="C187" s="20"/>
      <c r="D187" s="20"/>
    </row>
    <row r="188" spans="1:4" ht="20.25" x14ac:dyDescent="0.25">
      <c r="A188" s="88"/>
      <c r="B188" s="15"/>
      <c r="C188" s="20"/>
      <c r="D188" s="20"/>
    </row>
    <row r="189" spans="1:4" ht="20.25" x14ac:dyDescent="0.25">
      <c r="A189" s="88"/>
      <c r="B189" s="15"/>
      <c r="C189" s="20"/>
      <c r="D189" s="20"/>
    </row>
    <row r="190" spans="1:4" ht="20.25" x14ac:dyDescent="0.25">
      <c r="A190" s="88"/>
      <c r="B190" s="15"/>
      <c r="C190" s="20"/>
      <c r="D190" s="20"/>
    </row>
    <row r="191" spans="1:4" ht="20.25" x14ac:dyDescent="0.25">
      <c r="A191" s="88"/>
      <c r="B191" s="15"/>
      <c r="C191" s="20"/>
      <c r="D191" s="20"/>
    </row>
    <row r="192" spans="1:4" ht="20.25" x14ac:dyDescent="0.25">
      <c r="A192" s="88"/>
      <c r="B192" s="15"/>
      <c r="C192" s="20"/>
      <c r="D192" s="20"/>
    </row>
    <row r="193" spans="1:4" ht="20.25" x14ac:dyDescent="0.25">
      <c r="A193" s="88"/>
      <c r="B193" s="15"/>
      <c r="C193" s="20"/>
      <c r="D193" s="20"/>
    </row>
    <row r="194" spans="1:4" ht="20.25" x14ac:dyDescent="0.25">
      <c r="A194" s="88"/>
      <c r="B194" s="15"/>
      <c r="C194" s="20"/>
      <c r="D194" s="20"/>
    </row>
    <row r="195" spans="1:4" ht="20.25" x14ac:dyDescent="0.25">
      <c r="A195" s="88"/>
      <c r="B195" s="15"/>
      <c r="C195" s="20"/>
      <c r="D195" s="20"/>
    </row>
    <row r="196" spans="1:4" ht="20.25" x14ac:dyDescent="0.25">
      <c r="A196" s="88"/>
      <c r="B196" s="15"/>
      <c r="C196" s="20"/>
      <c r="D196" s="20"/>
    </row>
    <row r="197" spans="1:4" ht="20.25" x14ac:dyDescent="0.25">
      <c r="A197" s="88"/>
      <c r="B197" s="15"/>
      <c r="C197" s="20"/>
      <c r="D197" s="20"/>
    </row>
    <row r="198" spans="1:4" ht="20.25" x14ac:dyDescent="0.25">
      <c r="A198" s="88"/>
      <c r="B198" s="15"/>
      <c r="C198" s="20"/>
      <c r="D198" s="20"/>
    </row>
    <row r="199" spans="1:4" ht="20.25" x14ac:dyDescent="0.25">
      <c r="A199" s="88"/>
      <c r="B199" s="15"/>
      <c r="C199" s="20"/>
      <c r="D199" s="20"/>
    </row>
    <row r="200" spans="1:4" ht="20.25" x14ac:dyDescent="0.25">
      <c r="A200" s="88"/>
      <c r="B200" s="15"/>
      <c r="C200" s="20"/>
      <c r="D200" s="20"/>
    </row>
    <row r="201" spans="1:4" ht="20.25" x14ac:dyDescent="0.25">
      <c r="A201" s="88"/>
      <c r="B201" s="15"/>
      <c r="C201" s="20"/>
      <c r="D201" s="20"/>
    </row>
    <row r="202" spans="1:4" ht="20.25" x14ac:dyDescent="0.25">
      <c r="A202" s="88"/>
      <c r="B202" s="15"/>
      <c r="C202" s="20"/>
      <c r="D202" s="20"/>
    </row>
    <row r="203" spans="1:4" ht="20.25" x14ac:dyDescent="0.25">
      <c r="A203" s="88"/>
      <c r="B203" s="15"/>
      <c r="C203" s="20"/>
      <c r="D203" s="20"/>
    </row>
    <row r="204" spans="1:4" ht="20.25" x14ac:dyDescent="0.25">
      <c r="A204" s="88"/>
      <c r="B204" s="15"/>
      <c r="C204" s="20"/>
      <c r="D204" s="20"/>
    </row>
    <row r="205" spans="1:4" ht="20.25" x14ac:dyDescent="0.25">
      <c r="A205" s="88"/>
      <c r="B205" s="15"/>
      <c r="C205" s="20"/>
      <c r="D205" s="20"/>
    </row>
    <row r="206" spans="1:4" ht="20.25" x14ac:dyDescent="0.25">
      <c r="A206" s="88"/>
      <c r="B206" s="15"/>
      <c r="C206" s="20"/>
      <c r="D206" s="20"/>
    </row>
    <row r="207" spans="1:4" ht="20.25" x14ac:dyDescent="0.25">
      <c r="A207" s="88"/>
      <c r="B207" s="15"/>
      <c r="C207" s="20"/>
      <c r="D207" s="20"/>
    </row>
    <row r="208" spans="1:4" x14ac:dyDescent="0.25">
      <c r="A208" s="70"/>
      <c r="B208" s="15"/>
      <c r="C208" s="15"/>
      <c r="D208" s="15"/>
    </row>
    <row r="209" spans="1:8" ht="20.25" x14ac:dyDescent="0.25">
      <c r="A209" s="70"/>
      <c r="B209" s="16" t="s">
        <v>84</v>
      </c>
      <c r="C209" s="16" t="s">
        <v>138</v>
      </c>
      <c r="D209" s="19" t="s">
        <v>84</v>
      </c>
      <c r="E209" s="19" t="s">
        <v>138</v>
      </c>
    </row>
    <row r="210" spans="1:8" ht="21" x14ac:dyDescent="0.35">
      <c r="A210" s="70"/>
      <c r="B210" s="17" t="s">
        <v>86</v>
      </c>
      <c r="C210" s="17" t="s">
        <v>54</v>
      </c>
      <c r="D210" t="s">
        <v>86</v>
      </c>
      <c r="F210" t="str">
        <f>IF(NOT(ISBLANK(D210)),D210,IF(NOT(ISBLANK(E210)),"     "&amp;E210,FALSE))</f>
        <v>Afectación Económica o presupuestal</v>
      </c>
      <c r="G210" t="s">
        <v>86</v>
      </c>
      <c r="H210" t="str">
        <f ca="1">IF(NOT(ISERROR(MATCH(G210,_xlfn.ANCHORARRAY(B221),0))),F223&amp;"Por favor no seleccionar los criterios de impacto",G210)</f>
        <v>Afectación Económica o presupuestal</v>
      </c>
    </row>
    <row r="211" spans="1:8" ht="21" x14ac:dyDescent="0.35">
      <c r="A211" s="70"/>
      <c r="B211" s="17" t="s">
        <v>86</v>
      </c>
      <c r="C211" s="17" t="s">
        <v>89</v>
      </c>
      <c r="E211" t="s">
        <v>54</v>
      </c>
      <c r="F211" t="str">
        <f t="shared" ref="F211:F221" si="0">IF(NOT(ISBLANK(D211)),D211,IF(NOT(ISBLANK(E211)),"     "&amp;E211,FALSE))</f>
        <v xml:space="preserve">     Afectación menor a 10 SMLMV .</v>
      </c>
    </row>
    <row r="212" spans="1:8" ht="21" x14ac:dyDescent="0.35">
      <c r="A212" s="70"/>
      <c r="B212" s="17" t="s">
        <v>86</v>
      </c>
      <c r="C212" s="17" t="s">
        <v>90</v>
      </c>
      <c r="E212" t="s">
        <v>89</v>
      </c>
      <c r="F212" t="str">
        <f t="shared" si="0"/>
        <v xml:space="preserve">     Entre 10 y 50 SMLMV </v>
      </c>
    </row>
    <row r="213" spans="1:8" ht="21" x14ac:dyDescent="0.35">
      <c r="A213" s="70"/>
      <c r="B213" s="17" t="s">
        <v>86</v>
      </c>
      <c r="C213" s="17" t="s">
        <v>91</v>
      </c>
      <c r="E213" t="s">
        <v>90</v>
      </c>
      <c r="F213" t="str">
        <f t="shared" si="0"/>
        <v xml:space="preserve">     Entre 50 y 100 SMLMV </v>
      </c>
    </row>
    <row r="214" spans="1:8" ht="21" x14ac:dyDescent="0.35">
      <c r="A214" s="70"/>
      <c r="B214" s="17" t="s">
        <v>86</v>
      </c>
      <c r="C214" s="17" t="s">
        <v>92</v>
      </c>
      <c r="E214" t="s">
        <v>91</v>
      </c>
      <c r="F214" t="str">
        <f t="shared" si="0"/>
        <v xml:space="preserve">     Entre 100 y 500 SMLMV </v>
      </c>
    </row>
    <row r="215" spans="1:8" ht="21" x14ac:dyDescent="0.35">
      <c r="A215" s="70"/>
      <c r="B215" s="17" t="s">
        <v>53</v>
      </c>
      <c r="C215" s="17" t="s">
        <v>93</v>
      </c>
      <c r="E215" t="s">
        <v>92</v>
      </c>
      <c r="F215" t="str">
        <f t="shared" si="0"/>
        <v xml:space="preserve">     Mayor a 500 SMLMV </v>
      </c>
    </row>
    <row r="216" spans="1:8" ht="21" x14ac:dyDescent="0.35">
      <c r="A216" s="70"/>
      <c r="B216" s="17" t="s">
        <v>53</v>
      </c>
      <c r="C216" s="17" t="s">
        <v>94</v>
      </c>
      <c r="D216" t="s">
        <v>53</v>
      </c>
      <c r="F216" t="str">
        <f t="shared" si="0"/>
        <v>Pérdida Reputacional</v>
      </c>
    </row>
    <row r="217" spans="1:8" ht="21" x14ac:dyDescent="0.35">
      <c r="A217" s="70"/>
      <c r="B217" s="17" t="s">
        <v>53</v>
      </c>
      <c r="C217" s="17" t="s">
        <v>96</v>
      </c>
      <c r="E217" t="s">
        <v>93</v>
      </c>
      <c r="F217" t="str">
        <f t="shared" si="0"/>
        <v xml:space="preserve">     El riesgo afecta la imagen de alguna área de la organización</v>
      </c>
    </row>
    <row r="218" spans="1:8" ht="21" x14ac:dyDescent="0.35">
      <c r="A218" s="70"/>
      <c r="B218" s="17" t="s">
        <v>53</v>
      </c>
      <c r="C218" s="17" t="s">
        <v>95</v>
      </c>
      <c r="E218" t="s">
        <v>94</v>
      </c>
      <c r="F218" t="str">
        <f t="shared" si="0"/>
        <v xml:space="preserve">     El riesgo afecta la imagen de la entidad internamente, de conocimiento general, nivel interno, de junta dircetiva y accionistas y/o de provedores</v>
      </c>
    </row>
    <row r="219" spans="1:8" ht="21" x14ac:dyDescent="0.35">
      <c r="A219" s="70"/>
      <c r="B219" s="17" t="s">
        <v>53</v>
      </c>
      <c r="C219" s="17" t="s">
        <v>114</v>
      </c>
      <c r="E219" t="s">
        <v>96</v>
      </c>
      <c r="F219" t="str">
        <f t="shared" si="0"/>
        <v xml:space="preserve">     El riesgo afecta la imagen de la entidad con algunos usuarios de relevancia frente al logro de los objetivos</v>
      </c>
    </row>
    <row r="220" spans="1:8" x14ac:dyDescent="0.25">
      <c r="A220" s="70"/>
      <c r="B220" s="18"/>
      <c r="C220" s="18"/>
      <c r="E220" t="s">
        <v>95</v>
      </c>
      <c r="F220" t="str">
        <f t="shared" si="0"/>
        <v xml:space="preserve">     El riesgo afecta la imagen de de la entidad con efecto publicitario sostenido a nivel de sector administrativo, nivel departamental o municipal</v>
      </c>
    </row>
    <row r="221" spans="1:8" x14ac:dyDescent="0.25">
      <c r="A221" s="70"/>
      <c r="B221" s="18" t="e" cm="1">
        <f t="array" aca="1" ref="B221:B223" ca="1">_xlfn.UNIQUE(Tabla1[[#All],[Criterios]])</f>
        <v>#NAME?</v>
      </c>
      <c r="C221" s="18"/>
      <c r="E221" t="s">
        <v>114</v>
      </c>
      <c r="F221" t="str">
        <f t="shared" si="0"/>
        <v xml:space="preserve">     El riesgo afecta la imagen de la entidad a nivel nacional, con efecto publicitarios sostenible a nivel país</v>
      </c>
    </row>
    <row r="222" spans="1:8" x14ac:dyDescent="0.25">
      <c r="A222" s="70"/>
      <c r="B222" s="18" t="e">
        <f ca="1"/>
        <v>#NAME?</v>
      </c>
      <c r="C222" s="18"/>
    </row>
    <row r="223" spans="1:8" x14ac:dyDescent="0.25">
      <c r="B223" s="18" t="e">
        <f ca="1"/>
        <v>#NAME?</v>
      </c>
      <c r="C223" s="18"/>
      <c r="F223" s="21" t="s">
        <v>140</v>
      </c>
    </row>
    <row r="224" spans="1:8" x14ac:dyDescent="0.25">
      <c r="B224" s="14"/>
      <c r="C224" s="14"/>
      <c r="F224" s="21" t="s">
        <v>141</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F16"/>
  <sheetViews>
    <sheetView topLeftCell="A13" workbookViewId="0">
      <selection activeCell="A5" sqref="A5"/>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71" t="s">
        <v>74</v>
      </c>
      <c r="C1" s="372"/>
      <c r="D1" s="372"/>
      <c r="E1" s="372"/>
      <c r="F1" s="373"/>
    </row>
    <row r="2" spans="2:6" ht="16.5" thickBot="1" x14ac:dyDescent="0.3">
      <c r="B2" s="76"/>
      <c r="C2" s="76"/>
      <c r="D2" s="76"/>
      <c r="E2" s="76"/>
      <c r="F2" s="76"/>
    </row>
    <row r="3" spans="2:6" ht="16.5" thickBot="1" x14ac:dyDescent="0.25">
      <c r="B3" s="375" t="s">
        <v>60</v>
      </c>
      <c r="C3" s="376"/>
      <c r="D3" s="376"/>
      <c r="E3" s="139" t="s">
        <v>61</v>
      </c>
      <c r="F3" s="140" t="s">
        <v>62</v>
      </c>
    </row>
    <row r="4" spans="2:6" ht="31.5" x14ac:dyDescent="0.2">
      <c r="B4" s="377" t="s">
        <v>63</v>
      </c>
      <c r="C4" s="379" t="s">
        <v>12</v>
      </c>
      <c r="D4" s="77" t="s">
        <v>13</v>
      </c>
      <c r="E4" s="78" t="s">
        <v>64</v>
      </c>
      <c r="F4" s="79">
        <v>0.25</v>
      </c>
    </row>
    <row r="5" spans="2:6" ht="47.25" x14ac:dyDescent="0.2">
      <c r="B5" s="378"/>
      <c r="C5" s="380"/>
      <c r="D5" s="80" t="s">
        <v>14</v>
      </c>
      <c r="E5" s="81" t="s">
        <v>65</v>
      </c>
      <c r="F5" s="82">
        <v>0.15</v>
      </c>
    </row>
    <row r="6" spans="2:6" ht="47.25" x14ac:dyDescent="0.2">
      <c r="B6" s="378"/>
      <c r="C6" s="380"/>
      <c r="D6" s="80" t="s">
        <v>15</v>
      </c>
      <c r="E6" s="81" t="s">
        <v>66</v>
      </c>
      <c r="F6" s="82">
        <v>0.1</v>
      </c>
    </row>
    <row r="7" spans="2:6" ht="63" x14ac:dyDescent="0.2">
      <c r="B7" s="378"/>
      <c r="C7" s="380" t="s">
        <v>16</v>
      </c>
      <c r="D7" s="80" t="s">
        <v>9</v>
      </c>
      <c r="E7" s="81" t="s">
        <v>67</v>
      </c>
      <c r="F7" s="82">
        <v>0.25</v>
      </c>
    </row>
    <row r="8" spans="2:6" ht="31.5" x14ac:dyDescent="0.2">
      <c r="B8" s="378"/>
      <c r="C8" s="380"/>
      <c r="D8" s="80" t="s">
        <v>8</v>
      </c>
      <c r="E8" s="81" t="s">
        <v>68</v>
      </c>
      <c r="F8" s="82">
        <v>0.15</v>
      </c>
    </row>
    <row r="9" spans="2:6" ht="47.25" x14ac:dyDescent="0.2">
      <c r="B9" s="378" t="s">
        <v>155</v>
      </c>
      <c r="C9" s="380" t="s">
        <v>17</v>
      </c>
      <c r="D9" s="80" t="s">
        <v>18</v>
      </c>
      <c r="E9" s="81" t="s">
        <v>69</v>
      </c>
      <c r="F9" s="83" t="s">
        <v>70</v>
      </c>
    </row>
    <row r="10" spans="2:6" ht="63" x14ac:dyDescent="0.2">
      <c r="B10" s="378"/>
      <c r="C10" s="380"/>
      <c r="D10" s="80" t="s">
        <v>19</v>
      </c>
      <c r="E10" s="81" t="s">
        <v>71</v>
      </c>
      <c r="F10" s="83" t="s">
        <v>70</v>
      </c>
    </row>
    <row r="11" spans="2:6" ht="47.25" x14ac:dyDescent="0.2">
      <c r="B11" s="378"/>
      <c r="C11" s="380" t="s">
        <v>20</v>
      </c>
      <c r="D11" s="80" t="s">
        <v>21</v>
      </c>
      <c r="E11" s="81" t="s">
        <v>72</v>
      </c>
      <c r="F11" s="83" t="s">
        <v>70</v>
      </c>
    </row>
    <row r="12" spans="2:6" ht="47.25" x14ac:dyDescent="0.2">
      <c r="B12" s="378"/>
      <c r="C12" s="380"/>
      <c r="D12" s="80" t="s">
        <v>22</v>
      </c>
      <c r="E12" s="81" t="s">
        <v>73</v>
      </c>
      <c r="F12" s="83" t="s">
        <v>70</v>
      </c>
    </row>
    <row r="13" spans="2:6" ht="31.5" x14ac:dyDescent="0.2">
      <c r="B13" s="378"/>
      <c r="C13" s="380" t="s">
        <v>23</v>
      </c>
      <c r="D13" s="80" t="s">
        <v>115</v>
      </c>
      <c r="E13" s="81" t="s">
        <v>118</v>
      </c>
      <c r="F13" s="83" t="s">
        <v>70</v>
      </c>
    </row>
    <row r="14" spans="2:6" ht="32.25" thickBot="1" x14ac:dyDescent="0.25">
      <c r="B14" s="381"/>
      <c r="C14" s="382"/>
      <c r="D14" s="84" t="s">
        <v>116</v>
      </c>
      <c r="E14" s="85" t="s">
        <v>117</v>
      </c>
      <c r="F14" s="86" t="s">
        <v>70</v>
      </c>
    </row>
    <row r="15" spans="2:6" ht="49.5" customHeight="1" x14ac:dyDescent="0.2">
      <c r="B15" s="374" t="s">
        <v>152</v>
      </c>
      <c r="C15" s="374"/>
      <c r="D15" s="374"/>
      <c r="E15" s="374"/>
      <c r="F15" s="374"/>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30</v>
      </c>
      <c r="E2" t="s">
        <v>127</v>
      </c>
    </row>
    <row r="3" spans="2:5" x14ac:dyDescent="0.25">
      <c r="B3" t="s">
        <v>31</v>
      </c>
      <c r="E3" t="s">
        <v>126</v>
      </c>
    </row>
    <row r="4" spans="2:5" x14ac:dyDescent="0.25">
      <c r="B4" t="s">
        <v>131</v>
      </c>
      <c r="E4" t="s">
        <v>128</v>
      </c>
    </row>
    <row r="5" spans="2:5" x14ac:dyDescent="0.25">
      <c r="B5" t="s">
        <v>130</v>
      </c>
    </row>
    <row r="8" spans="2:5" x14ac:dyDescent="0.25">
      <c r="B8" t="s">
        <v>82</v>
      </c>
    </row>
    <row r="9" spans="2:5" x14ac:dyDescent="0.25">
      <c r="B9" t="s">
        <v>39</v>
      </c>
    </row>
    <row r="10" spans="2:5" x14ac:dyDescent="0.25">
      <c r="B10" t="s">
        <v>40</v>
      </c>
    </row>
    <row r="13" spans="2:5" x14ac:dyDescent="0.25">
      <c r="B13" t="s">
        <v>125</v>
      </c>
    </row>
    <row r="14" spans="2:5" x14ac:dyDescent="0.25">
      <c r="B14" t="s">
        <v>119</v>
      </c>
    </row>
    <row r="15" spans="2:5" x14ac:dyDescent="0.25">
      <c r="B15" t="s">
        <v>122</v>
      </c>
    </row>
    <row r="16" spans="2:5" x14ac:dyDescent="0.25">
      <c r="B16" t="s">
        <v>120</v>
      </c>
    </row>
    <row r="17" spans="2:2" x14ac:dyDescent="0.25">
      <c r="B17" t="s">
        <v>121</v>
      </c>
    </row>
    <row r="18" spans="2:2" x14ac:dyDescent="0.25">
      <c r="B18" t="s">
        <v>123</v>
      </c>
    </row>
    <row r="19" spans="2:2" x14ac:dyDescent="0.25">
      <c r="B19" t="s">
        <v>124</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39</v>
      </c>
    </row>
    <row r="21" spans="1:1" x14ac:dyDescent="0.2">
      <c r="A21" s="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LENOVO</cp:lastModifiedBy>
  <cp:lastPrinted>2020-05-13T01:12:22Z</cp:lastPrinted>
  <dcterms:created xsi:type="dcterms:W3CDTF">2020-03-24T23:12:47Z</dcterms:created>
  <dcterms:modified xsi:type="dcterms:W3CDTF">2022-02-07T15:08:11Z</dcterms:modified>
</cp:coreProperties>
</file>